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iordfs\vdifs\DO2000\Дом Офис 2000\2022 ПЕРЕГОВОРЫ\2022.18.05 Береза ОС,ТСВ,СКУД\"/>
    </mc:Choice>
  </mc:AlternateContent>
  <bookViews>
    <workbookView xWindow="26850" yWindow="-120" windowWidth="29040" windowHeight="15840"/>
  </bookViews>
  <sheets>
    <sheet name="цена заказчика" sheetId="2" r:id="rId1"/>
  </sheets>
  <calcPr calcId="162913"/>
</workbook>
</file>

<file path=xl/calcChain.xml><?xml version="1.0" encoding="utf-8"?>
<calcChain xmlns="http://schemas.openxmlformats.org/spreadsheetml/2006/main">
  <c r="S10" i="2" l="1"/>
  <c r="I38" i="2" l="1"/>
  <c r="I37" i="2"/>
  <c r="K37" i="2" s="1"/>
  <c r="F38" i="2"/>
  <c r="L37" i="2" s="1"/>
  <c r="N37" i="2" s="1"/>
  <c r="J33" i="2"/>
  <c r="L33" i="2"/>
  <c r="J34" i="2"/>
  <c r="Q36" i="2"/>
  <c r="R35" i="2" s="1"/>
  <c r="S35" i="2" s="1"/>
  <c r="U35" i="2" s="1"/>
  <c r="F27" i="2"/>
  <c r="F17" i="2"/>
  <c r="N38" i="2" l="1"/>
  <c r="O38" i="2" s="1"/>
  <c r="W35" i="2"/>
  <c r="V35" i="2"/>
  <c r="L34" i="2"/>
  <c r="K33" i="2"/>
  <c r="N33" i="2"/>
  <c r="J24" i="2"/>
  <c r="J23" i="2"/>
  <c r="J14" i="2"/>
  <c r="J13" i="2"/>
  <c r="P37" i="2" l="1"/>
  <c r="R37" i="2" s="1"/>
  <c r="S37" i="2" s="1"/>
  <c r="U37" i="2" s="1"/>
  <c r="T37" i="2"/>
  <c r="N34" i="2"/>
  <c r="O33" i="2" s="1"/>
  <c r="L27" i="2"/>
  <c r="W37" i="2" l="1"/>
  <c r="V37" i="2"/>
  <c r="O34" i="2"/>
  <c r="P33" i="2" s="1"/>
  <c r="R33" i="2" s="1"/>
  <c r="S33" i="2" s="1"/>
  <c r="Q41" i="2"/>
  <c r="M42" i="2"/>
  <c r="M41" i="2"/>
  <c r="Q26" i="2"/>
  <c r="Q30" i="2" s="1"/>
  <c r="L23" i="2"/>
  <c r="F30" i="2"/>
  <c r="Q16" i="2"/>
  <c r="Q40" i="2"/>
  <c r="I40" i="2"/>
  <c r="H40" i="2"/>
  <c r="G40" i="2"/>
  <c r="Q39" i="2"/>
  <c r="I39" i="2"/>
  <c r="H39" i="2"/>
  <c r="G39" i="2"/>
  <c r="F39" i="2"/>
  <c r="F40" i="2"/>
  <c r="I30" i="2"/>
  <c r="H30" i="2"/>
  <c r="G30" i="2"/>
  <c r="Q29" i="2"/>
  <c r="I29" i="2"/>
  <c r="H29" i="2"/>
  <c r="G29" i="2"/>
  <c r="F29" i="2"/>
  <c r="K27" i="2"/>
  <c r="L24" i="2"/>
  <c r="L30" i="2" s="1"/>
  <c r="X37" i="2" l="1"/>
  <c r="U33" i="2"/>
  <c r="V33" i="2" s="1"/>
  <c r="T33" i="2"/>
  <c r="W33" i="2"/>
  <c r="Q42" i="2"/>
  <c r="R25" i="2"/>
  <c r="S25" i="2" s="1"/>
  <c r="J30" i="2"/>
  <c r="L40" i="2"/>
  <c r="J40" i="2"/>
  <c r="V25" i="2"/>
  <c r="X33" i="2" l="1"/>
  <c r="T35" i="2"/>
  <c r="X35" i="2" s="1"/>
  <c r="W25" i="2"/>
  <c r="U25" i="2"/>
  <c r="J39" i="2"/>
  <c r="L39" i="2"/>
  <c r="N39" i="2"/>
  <c r="K39" i="2" l="1"/>
  <c r="AF32" i="2"/>
  <c r="V42" i="2"/>
  <c r="N40" i="2" l="1"/>
  <c r="O39" i="2"/>
  <c r="Y42" i="2"/>
  <c r="Z42" i="2"/>
  <c r="AA42" i="2"/>
  <c r="AB42" i="2"/>
  <c r="AC42" i="2"/>
  <c r="AD42" i="2"/>
  <c r="AE42" i="2"/>
  <c r="AF42" i="2"/>
  <c r="I20" i="2" l="1"/>
  <c r="I42" i="2" s="1"/>
  <c r="H20" i="2"/>
  <c r="H42" i="2" s="1"/>
  <c r="G20" i="2"/>
  <c r="G42" i="2" s="1"/>
  <c r="F20" i="2"/>
  <c r="F42" i="2" s="1"/>
  <c r="Q19" i="2"/>
  <c r="I19" i="2"/>
  <c r="I41" i="2" s="1"/>
  <c r="H19" i="2"/>
  <c r="H41" i="2" s="1"/>
  <c r="G19" i="2"/>
  <c r="G41" i="2" s="1"/>
  <c r="F19" i="2"/>
  <c r="F41" i="2" s="1"/>
  <c r="L17" i="2"/>
  <c r="N17" i="2" s="1"/>
  <c r="K17" i="2"/>
  <c r="Q20" i="2"/>
  <c r="L14" i="2"/>
  <c r="L20" i="2" s="1"/>
  <c r="L42" i="2" s="1"/>
  <c r="J20" i="2"/>
  <c r="J42" i="2" s="1"/>
  <c r="L13" i="2"/>
  <c r="N13" i="2" s="1"/>
  <c r="J19" i="2"/>
  <c r="N27" i="2" l="1"/>
  <c r="N28" i="2" s="1"/>
  <c r="O40" i="2"/>
  <c r="L19" i="2"/>
  <c r="R15" i="2"/>
  <c r="S15" i="2" s="1"/>
  <c r="U15" i="2" s="1"/>
  <c r="N18" i="2"/>
  <c r="O18" i="2" s="1"/>
  <c r="P17" i="2" s="1"/>
  <c r="K13" i="2"/>
  <c r="N14" i="2" s="1"/>
  <c r="N19" i="2"/>
  <c r="O13" i="2" l="1"/>
  <c r="R17" i="2"/>
  <c r="S17" i="2" s="1"/>
  <c r="W15" i="2"/>
  <c r="N23" i="2"/>
  <c r="N29" i="2" s="1"/>
  <c r="N41" i="2" s="1"/>
  <c r="L29" i="2"/>
  <c r="L41" i="2" s="1"/>
  <c r="K23" i="2"/>
  <c r="J29" i="2"/>
  <c r="J41" i="2" s="1"/>
  <c r="O28" i="2"/>
  <c r="P27" i="2" s="1"/>
  <c r="R27" i="2" s="1"/>
  <c r="S27" i="2" s="1"/>
  <c r="U27" i="2" s="1"/>
  <c r="P39" i="2"/>
  <c r="V15" i="2"/>
  <c r="K19" i="2"/>
  <c r="AF12" i="2"/>
  <c r="U17" i="2" l="1"/>
  <c r="V17" i="2"/>
  <c r="W17" i="2"/>
  <c r="T27" i="2"/>
  <c r="V27" i="2"/>
  <c r="W27" i="2"/>
  <c r="K29" i="2"/>
  <c r="K41" i="2" s="1"/>
  <c r="N24" i="2"/>
  <c r="O23" i="2" s="1"/>
  <c r="AF22" i="2"/>
  <c r="R39" i="2"/>
  <c r="O19" i="2"/>
  <c r="N20" i="2"/>
  <c r="X15" i="2"/>
  <c r="X17" i="2"/>
  <c r="O29" i="2" l="1"/>
  <c r="O41" i="2" s="1"/>
  <c r="N30" i="2"/>
  <c r="N42" i="2" s="1"/>
  <c r="X27" i="2"/>
  <c r="E46" i="2" s="1"/>
  <c r="S39" i="2"/>
  <c r="O14" i="2"/>
  <c r="O20" i="2" l="1"/>
  <c r="P13" i="2"/>
  <c r="P19" i="2" s="1"/>
  <c r="O24" i="2"/>
  <c r="O30" i="2" s="1"/>
  <c r="O42" i="2" s="1"/>
  <c r="T39" i="2"/>
  <c r="P23" i="2" l="1"/>
  <c r="R23" i="2" s="1"/>
  <c r="U39" i="2"/>
  <c r="R13" i="2"/>
  <c r="S13" i="2" s="1"/>
  <c r="R29" i="2" l="1"/>
  <c r="S23" i="2"/>
  <c r="W13" i="2"/>
  <c r="T13" i="2"/>
  <c r="U13" i="2"/>
  <c r="V13" i="2" s="1"/>
  <c r="V39" i="2"/>
  <c r="W39" i="2"/>
  <c r="AG39" i="2" s="1"/>
  <c r="P29" i="2"/>
  <c r="P41" i="2" s="1"/>
  <c r="X39" i="2"/>
  <c r="R19" i="2"/>
  <c r="S19" i="2"/>
  <c r="R41" i="2" l="1"/>
  <c r="W19" i="2"/>
  <c r="U19" i="2"/>
  <c r="X13" i="2"/>
  <c r="X19" i="2" s="1"/>
  <c r="W23" i="2"/>
  <c r="T23" i="2"/>
  <c r="T25" i="2" s="1"/>
  <c r="U23" i="2"/>
  <c r="S29" i="2"/>
  <c r="S41" i="2" s="1"/>
  <c r="T19" i="2"/>
  <c r="T29" i="2"/>
  <c r="V19" i="2"/>
  <c r="V41" i="2" s="1"/>
  <c r="T41" i="2" l="1"/>
  <c r="U29" i="2"/>
  <c r="U41" i="2" s="1"/>
  <c r="V23" i="2"/>
  <c r="X25" i="2" l="1"/>
  <c r="E45" i="2" s="1"/>
  <c r="V29" i="2"/>
  <c r="X23" i="2" l="1"/>
  <c r="E44" i="2" s="1"/>
  <c r="W29" i="2"/>
  <c r="X29" i="2" l="1"/>
  <c r="X41" i="2" s="1"/>
  <c r="E47" i="2"/>
  <c r="W41" i="2"/>
</calcChain>
</file>

<file path=xl/sharedStrings.xml><?xml version="1.0" encoding="utf-8"?>
<sst xmlns="http://schemas.openxmlformats.org/spreadsheetml/2006/main" count="85" uniqueCount="64">
  <si>
    <t>Приложение 1</t>
  </si>
  <si>
    <t xml:space="preserve">РАСЧЕТ СТАРТОВОЙ ЦЕНЫ ЗАКАЗЧИКА </t>
  </si>
  <si>
    <t>(наименование объекта)</t>
  </si>
  <si>
    <t>№ лок сметы</t>
  </si>
  <si>
    <t>Наименование объекта (системы)</t>
  </si>
  <si>
    <t>ВСЕГО трудозатрат</t>
  </si>
  <si>
    <t>ЭМиМ</t>
  </si>
  <si>
    <t>Материалы</t>
  </si>
  <si>
    <t>ОХР и ОПР</t>
  </si>
  <si>
    <t>Временные здания</t>
  </si>
  <si>
    <t>ИТОГО СМР</t>
  </si>
  <si>
    <t>Отчисления на соцстрах</t>
  </si>
  <si>
    <t>Разъездной характер</t>
  </si>
  <si>
    <t>Прочие</t>
  </si>
  <si>
    <t>ВСЕГО СМР / ПНР</t>
  </si>
  <si>
    <t>Оборудование с учетом транспорта (без НДС)</t>
  </si>
  <si>
    <t xml:space="preserve">ВСЕГО (с оборудованием) на дату составления сметной док-ции </t>
  </si>
  <si>
    <t xml:space="preserve">ВСЕГО (с оборудованием) на дату начала работ </t>
  </si>
  <si>
    <t>Стоимость работ на дату окончания строительства с учетом прогнозных индексов</t>
  </si>
  <si>
    <t>Зарплата рабочих</t>
  </si>
  <si>
    <t>Зарплата машинистов</t>
  </si>
  <si>
    <t>Транспорт</t>
  </si>
  <si>
    <t>Плановая прибыль</t>
  </si>
  <si>
    <t>Зимнее удорожание</t>
  </si>
  <si>
    <t>Командировочные расходы</t>
  </si>
  <si>
    <t>Перевозка рабочих</t>
  </si>
  <si>
    <t>ИТОГО с прочими</t>
  </si>
  <si>
    <t>НДС</t>
  </si>
  <si>
    <t>НДС 20%</t>
  </si>
  <si>
    <t>з.пл</t>
  </si>
  <si>
    <t>ЭММ</t>
  </si>
  <si>
    <t>материал</t>
  </si>
  <si>
    <t>ОХР</t>
  </si>
  <si>
    <t>Обор</t>
  </si>
  <si>
    <t>стоим.</t>
  </si>
  <si>
    <t>контроль</t>
  </si>
  <si>
    <t>Всего</t>
  </si>
  <si>
    <t>в т.ч. З.пл</t>
  </si>
  <si>
    <t>трансп</t>
  </si>
  <si>
    <t>ПП</t>
  </si>
  <si>
    <t>труд.емк</t>
  </si>
  <si>
    <t>1</t>
  </si>
  <si>
    <t>Монтаж системы</t>
  </si>
  <si>
    <t>2</t>
  </si>
  <si>
    <t>Оборудование</t>
  </si>
  <si>
    <t>3</t>
  </si>
  <si>
    <t>ПНР</t>
  </si>
  <si>
    <t>ИТОГО ПО ОБЪЕКТУ :</t>
  </si>
  <si>
    <t>Директор</t>
  </si>
  <si>
    <t>А.А.Глебко</t>
  </si>
  <si>
    <t>ВСЕГО ПО ОБЪЕКТАМ:</t>
  </si>
  <si>
    <t>Отчисления на формирование фондов развития строительной отрасли 1%</t>
  </si>
  <si>
    <t>01.04.2022</t>
  </si>
  <si>
    <t>01.05.2022</t>
  </si>
  <si>
    <t>СМР</t>
  </si>
  <si>
    <t>ОБОРУД</t>
  </si>
  <si>
    <t>Начальник отдела</t>
  </si>
  <si>
    <t>В.Ф.Борисевич</t>
  </si>
  <si>
    <t>Ю.А.Мальцева</t>
  </si>
  <si>
    <t xml:space="preserve">Модернизация системы охранной сигнализации УРМ 506/3 «Приорбанк» ОАО по адресу: г. Береза, ул. Красноармейская, 26; Модернизация телевизионной системы видеонаблюдения УРМ 506/3 «Приорбанк» ОАО по адресу: г. Береза, ул. Красноармейская, 26; Модернизация системы контроля и управления доступом УРМ 506/3 «Приорбанк» ОАО по адресу: г. Береза, ул. Красноармейская, 26 </t>
  </si>
  <si>
    <t>Модернизация системы охранной сигнализации УРМ 506/3 «Приорбанк» ОАО по адресу: г. Береза, ул. Красноармейская, 26</t>
  </si>
  <si>
    <t>Модернизация телевизионной системы видеонаблюдения УРМ 506/3 «Приорбанк» ОАО по адресу: г. Береза, ул. Красноармейская, 26</t>
  </si>
  <si>
    <t xml:space="preserve"> Модернизация системы контроля и управления доступом УРМ 506/3 «Приорбанк» ОАО по адресу: г. Береза, ул. Красноармейская, 26 </t>
  </si>
  <si>
    <t>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</si>
</sst>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%"/>
    <numFmt numFmtId="165" formatCode="0.000%"/>
    <numFmt numFmtId="166" formatCode="0.0%"/>
    <numFmt numFmtId="167" formatCode="#,##0.000_ ;[Red]\-#,##0.000\ "/>
    <numFmt numFmtId="168" formatCode="#,##0.00_ ;[Red]\-#,##0.00\ "/>
    <numFmt numFmtId="169" formatCode="#,##0.00_ ;[Red]\-#,##0.00\ ;_(@_)"/>
    <numFmt numFmtId="170" formatCode="#,##0.0_ ;[Red]\-#,##0.0\ "/>
  </numFmts>
  <fonts count="3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2"/>
      <charset val="204"/>
    </font>
    <font>
      <sz val="7"/>
      <name val="Calibri"/>
      <family val="2"/>
      <charset val="204"/>
      <scheme val="minor"/>
    </font>
    <font>
      <sz val="6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name val="Times New Roman"/>
      <family val="2"/>
      <charset val="204"/>
    </font>
    <font>
      <sz val="8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</cellStyleXfs>
  <cellXfs count="138">
    <xf numFmtId="0" fontId="0" fillId="0" borderId="0" xfId="0"/>
    <xf numFmtId="0" fontId="0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top"/>
    </xf>
    <xf numFmtId="0" fontId="10" fillId="0" borderId="0" xfId="0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18" fillId="2" borderId="1" xfId="0" applyNumberFormat="1" applyFont="1" applyFill="1" applyBorder="1" applyAlignment="1">
      <alignment vertical="top"/>
    </xf>
    <xf numFmtId="0" fontId="18" fillId="3" borderId="0" xfId="0" applyNumberFormat="1" applyFont="1" applyFill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17" fontId="20" fillId="0" borderId="1" xfId="0" applyNumberFormat="1" applyFont="1" applyFill="1" applyBorder="1" applyAlignment="1">
      <alignment vertical="top" wrapText="1"/>
    </xf>
    <xf numFmtId="17" fontId="20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0" fontId="18" fillId="3" borderId="0" xfId="0" applyNumberFormat="1" applyFont="1" applyFill="1" applyAlignment="1">
      <alignment vertical="top"/>
    </xf>
    <xf numFmtId="0" fontId="8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2" fillId="0" borderId="1" xfId="0" applyNumberFormat="1" applyFont="1" applyFill="1" applyBorder="1" applyAlignment="1">
      <alignment horizontal="right" vertical="top"/>
    </xf>
    <xf numFmtId="0" fontId="22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right" vertical="top"/>
    </xf>
    <xf numFmtId="168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 vertical="top"/>
    </xf>
    <xf numFmtId="0" fontId="18" fillId="0" borderId="0" xfId="0" applyNumberFormat="1" applyFont="1" applyAlignment="1">
      <alignment vertical="top"/>
    </xf>
    <xf numFmtId="168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vertical="top"/>
    </xf>
    <xf numFmtId="169" fontId="8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/>
    </xf>
    <xf numFmtId="167" fontId="20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vertical="top"/>
    </xf>
    <xf numFmtId="0" fontId="26" fillId="0" borderId="0" xfId="0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28" fillId="0" borderId="0" xfId="0" applyNumberFormat="1" applyFont="1" applyAlignment="1">
      <alignment vertical="top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vertical="top"/>
    </xf>
    <xf numFmtId="169" fontId="32" fillId="6" borderId="1" xfId="0" applyNumberFormat="1" applyFont="1" applyFill="1" applyBorder="1" applyAlignment="1">
      <alignment horizontal="right" vertical="top"/>
    </xf>
    <xf numFmtId="0" fontId="28" fillId="0" borderId="0" xfId="0" applyNumberFormat="1" applyFont="1" applyAlignment="1">
      <alignment horizontal="left" vertical="center"/>
    </xf>
    <xf numFmtId="0" fontId="12" fillId="0" borderId="0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8" fillId="0" borderId="11" xfId="0" applyNumberFormat="1" applyFont="1" applyBorder="1" applyAlignment="1">
      <alignment vertical="top"/>
    </xf>
    <xf numFmtId="0" fontId="8" fillId="0" borderId="11" xfId="0" applyNumberFormat="1" applyFont="1" applyBorder="1" applyAlignment="1">
      <alignment vertical="top"/>
    </xf>
    <xf numFmtId="168" fontId="0" fillId="0" borderId="0" xfId="0" applyNumberFormat="1" applyFont="1" applyAlignment="1">
      <alignment vertical="top"/>
    </xf>
    <xf numFmtId="169" fontId="22" fillId="0" borderId="1" xfId="0" applyNumberFormat="1" applyFont="1" applyBorder="1" applyAlignment="1">
      <alignment horizontal="center" vertical="center"/>
    </xf>
    <xf numFmtId="169" fontId="24" fillId="5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169" fontId="30" fillId="0" borderId="1" xfId="2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30" fillId="0" borderId="1" xfId="2" applyNumberFormat="1" applyFont="1" applyBorder="1" applyAlignment="1">
      <alignment horizontal="center" vertical="center"/>
    </xf>
    <xf numFmtId="0" fontId="24" fillId="5" borderId="1" xfId="0" applyNumberFormat="1" applyFont="1" applyFill="1" applyBorder="1" applyAlignment="1">
      <alignment horizontal="center" vertical="center"/>
    </xf>
    <xf numFmtId="169" fontId="32" fillId="6" borderId="1" xfId="0" applyNumberFormat="1" applyFont="1" applyFill="1" applyBorder="1" applyAlignment="1">
      <alignment horizontal="center" vertical="center"/>
    </xf>
    <xf numFmtId="168" fontId="23" fillId="0" borderId="0" xfId="0" applyNumberFormat="1" applyFont="1" applyAlignment="1">
      <alignment vertical="top"/>
    </xf>
    <xf numFmtId="0" fontId="0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9" fontId="23" fillId="0" borderId="1" xfId="1" applyFont="1" applyFill="1" applyBorder="1" applyAlignment="1">
      <alignment horizontal="center" vertical="center"/>
    </xf>
    <xf numFmtId="169" fontId="23" fillId="0" borderId="1" xfId="0" applyNumberFormat="1" applyFont="1" applyBorder="1" applyAlignment="1">
      <alignment horizontal="center" vertical="center"/>
    </xf>
    <xf numFmtId="169" fontId="36" fillId="5" borderId="1" xfId="0" applyNumberFormat="1" applyFont="1" applyFill="1" applyBorder="1" applyAlignment="1">
      <alignment horizontal="center" vertical="center"/>
    </xf>
    <xf numFmtId="169" fontId="23" fillId="0" borderId="1" xfId="0" applyNumberFormat="1" applyFont="1" applyBorder="1" applyAlignment="1">
      <alignment horizontal="center" vertical="center"/>
    </xf>
    <xf numFmtId="169" fontId="23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right" vertical="top"/>
    </xf>
    <xf numFmtId="168" fontId="18" fillId="0" borderId="0" xfId="0" applyNumberFormat="1" applyFont="1" applyFill="1" applyAlignment="1">
      <alignment vertical="top"/>
    </xf>
    <xf numFmtId="0" fontId="23" fillId="0" borderId="0" xfId="0" applyNumberFormat="1" applyFont="1" applyFill="1" applyAlignment="1">
      <alignment vertical="top"/>
    </xf>
    <xf numFmtId="169" fontId="30" fillId="0" borderId="1" xfId="2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69" fontId="23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right" vertical="top"/>
    </xf>
    <xf numFmtId="0" fontId="18" fillId="0" borderId="0" xfId="0" applyNumberFormat="1" applyFont="1" applyFill="1" applyAlignment="1">
      <alignment vertical="top"/>
    </xf>
    <xf numFmtId="169" fontId="23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Fill="1" applyBorder="1" applyAlignment="1">
      <alignment horizontal="center" vertical="center"/>
    </xf>
    <xf numFmtId="170" fontId="0" fillId="0" borderId="0" xfId="0" applyNumberFormat="1" applyFont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/>
    </xf>
    <xf numFmtId="169" fontId="23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top" wrapText="1"/>
    </xf>
    <xf numFmtId="169" fontId="22" fillId="0" borderId="1" xfId="0" applyNumberFormat="1" applyFont="1" applyFill="1" applyBorder="1" applyAlignment="1">
      <alignment horizontal="center" vertical="center"/>
    </xf>
    <xf numFmtId="169" fontId="32" fillId="6" borderId="2" xfId="0" applyNumberFormat="1" applyFont="1" applyFill="1" applyBorder="1" applyAlignment="1">
      <alignment horizontal="center" vertical="center"/>
    </xf>
    <xf numFmtId="169" fontId="32" fillId="6" borderId="9" xfId="0" applyNumberFormat="1" applyFont="1" applyFill="1" applyBorder="1" applyAlignment="1">
      <alignment horizontal="center" vertical="center"/>
    </xf>
    <xf numFmtId="169" fontId="36" fillId="5" borderId="2" xfId="0" applyNumberFormat="1" applyFont="1" applyFill="1" applyBorder="1" applyAlignment="1">
      <alignment horizontal="center" vertical="center"/>
    </xf>
    <xf numFmtId="169" fontId="36" fillId="5" borderId="9" xfId="0" applyNumberFormat="1" applyFont="1" applyFill="1" applyBorder="1" applyAlignment="1">
      <alignment horizontal="center" vertical="center"/>
    </xf>
    <xf numFmtId="0" fontId="31" fillId="6" borderId="1" xfId="0" applyNumberFormat="1" applyFont="1" applyFill="1" applyBorder="1" applyAlignment="1">
      <alignment vertical="top" wrapText="1"/>
    </xf>
    <xf numFmtId="49" fontId="32" fillId="6" borderId="1" xfId="0" applyNumberFormat="1" applyFont="1" applyFill="1" applyBorder="1" applyAlignment="1">
      <alignment horizontal="right" vertical="center" wrapText="1"/>
    </xf>
    <xf numFmtId="169" fontId="36" fillId="5" borderId="1" xfId="0" applyNumberFormat="1" applyFont="1" applyFill="1" applyBorder="1" applyAlignment="1">
      <alignment horizontal="center" vertical="center"/>
    </xf>
    <xf numFmtId="169" fontId="24" fillId="5" borderId="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1" fillId="0" borderId="15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right" vertical="top"/>
    </xf>
    <xf numFmtId="0" fontId="9" fillId="0" borderId="0" xfId="0" applyNumberFormat="1" applyFont="1" applyAlignment="1">
      <alignment horizontal="center" vertical="top"/>
    </xf>
    <xf numFmtId="0" fontId="14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vertical="top" wrapText="1"/>
    </xf>
    <xf numFmtId="49" fontId="24" fillId="5" borderId="1" xfId="0" applyNumberFormat="1" applyFont="1" applyFill="1" applyBorder="1" applyAlignment="1">
      <alignment horizontal="right" vertical="center" wrapText="1"/>
    </xf>
    <xf numFmtId="169" fontId="24" fillId="5" borderId="2" xfId="0" applyNumberFormat="1" applyFont="1" applyFill="1" applyBorder="1" applyAlignment="1">
      <alignment horizontal="center" vertical="center"/>
    </xf>
    <xf numFmtId="169" fontId="24" fillId="5" borderId="9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horizontal="center" vertical="top" wrapText="1"/>
    </xf>
    <xf numFmtId="0" fontId="21" fillId="0" borderId="15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4" xfId="0" applyNumberFormat="1" applyFont="1" applyFill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/>
    </xf>
    <xf numFmtId="0" fontId="22" fillId="0" borderId="14" xfId="0" applyNumberFormat="1" applyFont="1" applyBorder="1" applyAlignment="1">
      <alignment horizontal="center" vertical="top"/>
    </xf>
    <xf numFmtId="0" fontId="22" fillId="0" borderId="15" xfId="0" applyNumberFormat="1" applyFont="1" applyBorder="1" applyAlignment="1">
      <alignment horizontal="center" vertical="top"/>
    </xf>
    <xf numFmtId="169" fontId="35" fillId="4" borderId="2" xfId="0" applyNumberFormat="1" applyFont="1" applyFill="1" applyBorder="1" applyAlignment="1">
      <alignment horizontal="center" vertical="center"/>
    </xf>
    <xf numFmtId="169" fontId="35" fillId="4" borderId="9" xfId="0" applyNumberFormat="1" applyFont="1" applyFill="1" applyBorder="1" applyAlignment="1">
      <alignment horizontal="center" vertical="center"/>
    </xf>
    <xf numFmtId="169" fontId="23" fillId="0" borderId="2" xfId="0" applyNumberFormat="1" applyFont="1" applyBorder="1" applyAlignment="1">
      <alignment horizontal="center" vertical="center"/>
    </xf>
    <xf numFmtId="169" fontId="23" fillId="0" borderId="9" xfId="0" applyNumberFormat="1" applyFont="1" applyBorder="1" applyAlignment="1">
      <alignment horizontal="center" vertical="center"/>
    </xf>
    <xf numFmtId="169" fontId="33" fillId="6" borderId="2" xfId="0" applyNumberFormat="1" applyFont="1" applyFill="1" applyBorder="1" applyAlignment="1">
      <alignment horizontal="center" vertical="center"/>
    </xf>
    <xf numFmtId="169" fontId="33" fillId="6" borderId="9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zoomScaleNormal="100" workbookViewId="0">
      <selection activeCell="J15" sqref="J15"/>
    </sheetView>
  </sheetViews>
  <sheetFormatPr defaultColWidth="9.28515625" defaultRowHeight="15" x14ac:dyDescent="0.25"/>
  <cols>
    <col min="1" max="1" width="4" style="1" customWidth="1"/>
    <col min="2" max="2" width="13.5703125" style="1" customWidth="1"/>
    <col min="3" max="3" width="9.28515625" style="1"/>
    <col min="4" max="4" width="7.5703125" style="1" customWidth="1"/>
    <col min="5" max="5" width="17.28515625" style="1" customWidth="1"/>
    <col min="6" max="6" width="10.140625" style="2" bestFit="1" customWidth="1"/>
    <col min="7" max="7" width="10.42578125" style="2" customWidth="1"/>
    <col min="8" max="10" width="10" style="2" bestFit="1" customWidth="1"/>
    <col min="11" max="11" width="12.42578125" style="3" customWidth="1"/>
    <col min="12" max="12" width="10.42578125" style="2" bestFit="1" customWidth="1"/>
    <col min="13" max="13" width="0" style="2" hidden="1" customWidth="1"/>
    <col min="14" max="14" width="10.5703125" style="2" bestFit="1" customWidth="1"/>
    <col min="15" max="15" width="10.42578125" style="2" bestFit="1" customWidth="1"/>
    <col min="16" max="16" width="13.140625" style="3" customWidth="1"/>
    <col min="17" max="17" width="10" style="2" bestFit="1" customWidth="1"/>
    <col min="18" max="18" width="12.42578125" style="3" customWidth="1"/>
    <col min="19" max="19" width="10.42578125" style="2" bestFit="1" customWidth="1"/>
    <col min="20" max="20" width="10.5703125" style="2" customWidth="1"/>
    <col min="21" max="21" width="10" style="2" customWidth="1"/>
    <col min="22" max="22" width="10.42578125" style="2" hidden="1" customWidth="1"/>
    <col min="23" max="23" width="11.28515625" style="2" hidden="1" customWidth="1"/>
    <col min="24" max="24" width="12.85546875" style="1" customWidth="1"/>
    <col min="25" max="25" width="6.85546875" style="4" hidden="1" customWidth="1"/>
    <col min="26" max="26" width="6.140625" style="4" hidden="1" customWidth="1"/>
    <col min="27" max="27" width="6.5703125" style="4" hidden="1" customWidth="1"/>
    <col min="28" max="28" width="7" style="4" hidden="1" customWidth="1"/>
    <col min="29" max="29" width="8" style="4" hidden="1" customWidth="1"/>
    <col min="30" max="30" width="2.85546875" style="4" hidden="1" customWidth="1"/>
    <col min="31" max="31" width="9" style="4" hidden="1" customWidth="1"/>
    <col min="32" max="32" width="6.5703125" style="4" hidden="1" customWidth="1"/>
    <col min="33" max="33" width="25.28515625" style="1" customWidth="1"/>
    <col min="34" max="16384" width="9.28515625" style="1"/>
  </cols>
  <sheetData>
    <row r="1" spans="1:33" ht="14.25" customHeight="1" x14ac:dyDescent="0.25">
      <c r="S1" s="100" t="s">
        <v>0</v>
      </c>
      <c r="T1" s="100"/>
      <c r="U1" s="100"/>
      <c r="V1" s="100"/>
      <c r="W1" s="100"/>
      <c r="X1" s="100"/>
    </row>
    <row r="2" spans="1:33" s="6" customFormat="1" ht="19.5" customHeight="1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5"/>
      <c r="Z2" s="5"/>
      <c r="AA2" s="5"/>
      <c r="AB2" s="5"/>
      <c r="AC2" s="5"/>
      <c r="AD2" s="5"/>
      <c r="AE2" s="5"/>
      <c r="AF2" s="5"/>
    </row>
    <row r="3" spans="1:33" ht="7.5" customHeight="1" x14ac:dyDescent="0.25">
      <c r="A3" s="2"/>
      <c r="B3" s="2"/>
      <c r="C3" s="2"/>
      <c r="D3" s="2"/>
      <c r="E3" s="2"/>
      <c r="X3" s="2"/>
    </row>
    <row r="4" spans="1:33" s="42" customFormat="1" ht="35.25" customHeight="1" x14ac:dyDescent="0.25">
      <c r="A4" s="40"/>
      <c r="B4" s="102" t="s">
        <v>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41"/>
      <c r="Z4" s="41"/>
      <c r="AA4" s="41"/>
      <c r="AB4" s="41"/>
      <c r="AC4" s="41"/>
      <c r="AD4" s="41"/>
      <c r="AE4" s="41"/>
      <c r="AF4" s="41"/>
    </row>
    <row r="5" spans="1:33" ht="13.5" customHeight="1" x14ac:dyDescent="0.25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3" ht="16.5" customHeight="1" x14ac:dyDescent="0.25">
      <c r="A6" s="104" t="s">
        <v>3</v>
      </c>
      <c r="B6" s="105" t="s">
        <v>4</v>
      </c>
      <c r="C6" s="105"/>
      <c r="D6" s="105"/>
      <c r="E6" s="105"/>
      <c r="F6" s="99" t="s">
        <v>5</v>
      </c>
      <c r="G6" s="99" t="s">
        <v>6</v>
      </c>
      <c r="H6" s="99" t="s">
        <v>7</v>
      </c>
      <c r="I6" s="99" t="s">
        <v>8</v>
      </c>
      <c r="J6" s="99" t="s">
        <v>9</v>
      </c>
      <c r="K6" s="99" t="s">
        <v>10</v>
      </c>
      <c r="L6" s="99" t="s">
        <v>11</v>
      </c>
      <c r="M6" s="99" t="s">
        <v>12</v>
      </c>
      <c r="N6" s="99" t="s">
        <v>13</v>
      </c>
      <c r="O6" s="118" t="s">
        <v>51</v>
      </c>
      <c r="P6" s="99" t="s">
        <v>14</v>
      </c>
      <c r="Q6" s="99" t="s">
        <v>15</v>
      </c>
      <c r="R6" s="115" t="s">
        <v>16</v>
      </c>
      <c r="S6" s="115" t="s">
        <v>17</v>
      </c>
      <c r="T6" s="106" t="s">
        <v>18</v>
      </c>
      <c r="U6" s="107"/>
      <c r="V6" s="107"/>
      <c r="W6" s="107"/>
      <c r="X6" s="108"/>
    </row>
    <row r="7" spans="1:33" ht="20.25" customHeight="1" x14ac:dyDescent="0.25">
      <c r="A7" s="104"/>
      <c r="B7" s="105"/>
      <c r="C7" s="105"/>
      <c r="D7" s="105"/>
      <c r="E7" s="105"/>
      <c r="F7" s="99"/>
      <c r="G7" s="99"/>
      <c r="H7" s="99"/>
      <c r="I7" s="99"/>
      <c r="J7" s="99"/>
      <c r="K7" s="99"/>
      <c r="L7" s="99"/>
      <c r="M7" s="99"/>
      <c r="N7" s="99"/>
      <c r="O7" s="118"/>
      <c r="P7" s="99"/>
      <c r="Q7" s="99"/>
      <c r="R7" s="116"/>
      <c r="S7" s="116"/>
      <c r="T7" s="109"/>
      <c r="U7" s="110"/>
      <c r="V7" s="110"/>
      <c r="W7" s="110"/>
      <c r="X7" s="111"/>
    </row>
    <row r="8" spans="1:33" ht="28.5" customHeight="1" x14ac:dyDescent="0.25">
      <c r="A8" s="104"/>
      <c r="B8" s="105"/>
      <c r="C8" s="105"/>
      <c r="D8" s="105"/>
      <c r="E8" s="105"/>
      <c r="F8" s="99" t="s">
        <v>19</v>
      </c>
      <c r="G8" s="99" t="s">
        <v>20</v>
      </c>
      <c r="H8" s="99" t="s">
        <v>21</v>
      </c>
      <c r="I8" s="99" t="s">
        <v>22</v>
      </c>
      <c r="J8" s="99" t="s">
        <v>23</v>
      </c>
      <c r="K8" s="99"/>
      <c r="L8" s="99" t="s">
        <v>24</v>
      </c>
      <c r="M8" s="99" t="s">
        <v>25</v>
      </c>
      <c r="N8" s="99" t="s">
        <v>26</v>
      </c>
      <c r="O8" s="99" t="s">
        <v>27</v>
      </c>
      <c r="P8" s="99"/>
      <c r="Q8" s="99" t="s">
        <v>28</v>
      </c>
      <c r="R8" s="117"/>
      <c r="S8" s="117"/>
      <c r="T8" s="112"/>
      <c r="U8" s="113"/>
      <c r="V8" s="113"/>
      <c r="W8" s="113"/>
      <c r="X8" s="114"/>
      <c r="Y8" s="7" t="s">
        <v>29</v>
      </c>
      <c r="Z8" s="7" t="s">
        <v>30</v>
      </c>
      <c r="AA8" s="7" t="s">
        <v>31</v>
      </c>
      <c r="AB8" s="7" t="s">
        <v>32</v>
      </c>
      <c r="AC8" s="7" t="s">
        <v>33</v>
      </c>
      <c r="AD8" s="7" t="s">
        <v>13</v>
      </c>
      <c r="AE8" s="7" t="s">
        <v>34</v>
      </c>
      <c r="AF8" s="8" t="s">
        <v>35</v>
      </c>
    </row>
    <row r="9" spans="1:33" ht="18" customHeight="1" x14ac:dyDescent="0.25">
      <c r="A9" s="104"/>
      <c r="B9" s="105"/>
      <c r="C9" s="105"/>
      <c r="D9" s="105"/>
      <c r="E9" s="105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"/>
      <c r="S9" s="9"/>
      <c r="T9" s="10">
        <v>44713</v>
      </c>
      <c r="U9" s="11">
        <v>44743</v>
      </c>
      <c r="V9" s="11"/>
      <c r="W9" s="11">
        <v>44713</v>
      </c>
      <c r="X9" s="12" t="s">
        <v>36</v>
      </c>
      <c r="Y9" s="7"/>
      <c r="Z9" s="7" t="s">
        <v>37</v>
      </c>
      <c r="AA9" s="7" t="s">
        <v>38</v>
      </c>
      <c r="AB9" s="7" t="s">
        <v>39</v>
      </c>
      <c r="AC9" s="7" t="s">
        <v>38</v>
      </c>
      <c r="AD9" s="7"/>
      <c r="AE9" s="7" t="s">
        <v>40</v>
      </c>
      <c r="AF9" s="13"/>
    </row>
    <row r="10" spans="1:33" s="17" customFormat="1" ht="44.25" customHeight="1" x14ac:dyDescent="0.25">
      <c r="A10" s="14"/>
      <c r="B10" s="96" t="s">
        <v>60</v>
      </c>
      <c r="C10" s="97"/>
      <c r="D10" s="97"/>
      <c r="E10" s="98"/>
      <c r="F10" s="15"/>
      <c r="G10" s="15"/>
      <c r="H10" s="15"/>
      <c r="I10" s="15"/>
      <c r="J10" s="48">
        <v>4.5384000000000001E-2</v>
      </c>
      <c r="K10" s="15"/>
      <c r="L10" s="49">
        <v>0.34</v>
      </c>
      <c r="M10" s="15"/>
      <c r="N10" s="15"/>
      <c r="O10" s="15"/>
      <c r="P10" s="15"/>
      <c r="Q10" s="15"/>
      <c r="R10" s="57"/>
      <c r="S10" s="57">
        <f>ROUND(1.0138*1.0138,4)</f>
        <v>1.0278</v>
      </c>
      <c r="T10" s="57">
        <v>1.0138</v>
      </c>
      <c r="U10" s="57">
        <v>1.0278</v>
      </c>
      <c r="V10" s="57"/>
      <c r="W10" s="57">
        <v>0</v>
      </c>
      <c r="X10" s="57"/>
      <c r="Y10" s="16"/>
      <c r="Z10" s="16"/>
      <c r="AA10" s="16"/>
      <c r="AB10" s="16"/>
      <c r="AC10" s="16"/>
      <c r="AD10" s="16"/>
      <c r="AE10" s="16"/>
      <c r="AF10" s="16"/>
    </row>
    <row r="11" spans="1:33" s="17" customFormat="1" x14ac:dyDescent="0.25">
      <c r="A11" s="14"/>
      <c r="B11" s="123"/>
      <c r="C11" s="124"/>
      <c r="D11" s="124"/>
      <c r="E11" s="125"/>
      <c r="F11" s="15"/>
      <c r="G11" s="15"/>
      <c r="H11" s="15"/>
      <c r="I11" s="15"/>
      <c r="J11" s="48"/>
      <c r="K11" s="15"/>
      <c r="L11" s="49"/>
      <c r="M11" s="15"/>
      <c r="N11" s="15"/>
      <c r="O11" s="15"/>
      <c r="P11" s="15"/>
      <c r="Q11" s="15"/>
      <c r="R11" s="65" t="s">
        <v>52</v>
      </c>
      <c r="S11" s="81" t="s">
        <v>63</v>
      </c>
      <c r="T11" s="66">
        <v>0.5</v>
      </c>
      <c r="U11" s="66">
        <v>0.5</v>
      </c>
      <c r="V11" s="66">
        <v>1</v>
      </c>
      <c r="W11" s="66">
        <v>0</v>
      </c>
      <c r="X11" s="57"/>
      <c r="Y11" s="16"/>
      <c r="Z11" s="16"/>
      <c r="AA11" s="16"/>
      <c r="AB11" s="16"/>
      <c r="AC11" s="16"/>
      <c r="AD11" s="16"/>
      <c r="AE11" s="16"/>
      <c r="AF11" s="16"/>
    </row>
    <row r="12" spans="1:33" s="71" customFormat="1" ht="18.75" customHeight="1" x14ac:dyDescent="0.25">
      <c r="A12" s="18"/>
      <c r="B12" s="126"/>
      <c r="C12" s="127"/>
      <c r="D12" s="127"/>
      <c r="E12" s="128"/>
      <c r="F12" s="19"/>
      <c r="G12" s="19"/>
      <c r="H12" s="19"/>
      <c r="I12" s="19"/>
      <c r="J12" s="67">
        <v>2.2020000000000001E-2</v>
      </c>
      <c r="K12" s="19"/>
      <c r="L12" s="68">
        <v>0.253</v>
      </c>
      <c r="M12" s="19"/>
      <c r="N12" s="19"/>
      <c r="O12" s="19"/>
      <c r="P12" s="19"/>
      <c r="Q12" s="19"/>
      <c r="R12" s="58"/>
      <c r="S12" s="58"/>
      <c r="T12" s="59"/>
      <c r="U12" s="59"/>
      <c r="V12" s="59"/>
      <c r="W12" s="59"/>
      <c r="X12" s="58"/>
      <c r="Y12" s="69">
        <v>1.0999999999999999E-2</v>
      </c>
      <c r="Z12" s="16"/>
      <c r="AA12" s="16"/>
      <c r="AB12" s="69">
        <v>4.0000000000000001E-3</v>
      </c>
      <c r="AC12" s="69">
        <v>0.42099999999999999</v>
      </c>
      <c r="AD12" s="16"/>
      <c r="AE12" s="69">
        <v>0.45</v>
      </c>
      <c r="AF12" s="70">
        <f>AE12*1000-(K13-J13-J14+Q15)</f>
        <v>-8495.51</v>
      </c>
    </row>
    <row r="13" spans="1:33" s="71" customFormat="1" ht="15" customHeight="1" x14ac:dyDescent="0.25">
      <c r="A13" s="85" t="s">
        <v>41</v>
      </c>
      <c r="B13" s="86" t="s">
        <v>42</v>
      </c>
      <c r="C13" s="86"/>
      <c r="D13" s="86"/>
      <c r="E13" s="86"/>
      <c r="F13" s="72">
        <v>185.4</v>
      </c>
      <c r="G13" s="72">
        <v>179.33</v>
      </c>
      <c r="H13" s="72">
        <v>3837.24</v>
      </c>
      <c r="I13" s="72">
        <v>728.72</v>
      </c>
      <c r="J13" s="73">
        <f>ROUND((F14/1.35+G14)*$J10,2)</f>
        <v>69.69</v>
      </c>
      <c r="K13" s="84">
        <f>F14+G13+I13+I14+H13+H14+J13+J14</f>
        <v>7698.65</v>
      </c>
      <c r="L13" s="64">
        <f>ROUND((F14+G14)*$L10,2)</f>
        <v>697.78</v>
      </c>
      <c r="M13" s="19"/>
      <c r="N13" s="64">
        <f>L13+L14</f>
        <v>1217.01</v>
      </c>
      <c r="O13" s="64">
        <f>ROUND(N14/99,2)</f>
        <v>90.06</v>
      </c>
      <c r="P13" s="84">
        <f>N14+O14+O13</f>
        <v>10806.859999999999</v>
      </c>
      <c r="Q13" s="64"/>
      <c r="R13" s="83">
        <f>P13+Q13+Q14</f>
        <v>10806.859999999999</v>
      </c>
      <c r="S13" s="83">
        <f>ROUND(R13*S10,2)</f>
        <v>11107.29</v>
      </c>
      <c r="T13" s="134">
        <f>ROUND(S13*T10*T11,2)</f>
        <v>5630.29</v>
      </c>
      <c r="U13" s="134">
        <f>ROUND(S13*U10*U11,2)</f>
        <v>5708.04</v>
      </c>
      <c r="V13" s="74">
        <f t="shared" ref="V13" si="0">U13*V10*V11</f>
        <v>0</v>
      </c>
      <c r="W13" s="134">
        <f>ROUND(S13*W10*W11,2)</f>
        <v>0</v>
      </c>
      <c r="X13" s="132">
        <f>T13+U13+W13</f>
        <v>11338.33</v>
      </c>
      <c r="Y13" s="16"/>
      <c r="Z13" s="16"/>
      <c r="AA13" s="16"/>
      <c r="AB13" s="69">
        <v>4.0000000000000001E-3</v>
      </c>
      <c r="AC13" s="69">
        <v>8.0000000000000002E-3</v>
      </c>
      <c r="AD13" s="16"/>
      <c r="AE13" s="75">
        <v>2</v>
      </c>
      <c r="AF13" s="76"/>
    </row>
    <row r="14" spans="1:33" s="22" customFormat="1" ht="12.75" x14ac:dyDescent="0.25">
      <c r="A14" s="85"/>
      <c r="B14" s="86"/>
      <c r="C14" s="86"/>
      <c r="D14" s="86"/>
      <c r="E14" s="86"/>
      <c r="F14" s="50">
        <v>1993.34</v>
      </c>
      <c r="G14" s="53">
        <v>58.96</v>
      </c>
      <c r="H14" s="50">
        <v>223.91</v>
      </c>
      <c r="I14" s="50">
        <v>632.61</v>
      </c>
      <c r="J14" s="51">
        <f>ROUND((F14/1.35+G14)*$J12,2)</f>
        <v>33.81</v>
      </c>
      <c r="K14" s="84"/>
      <c r="L14" s="51">
        <f>ROUND((F14+G14)*$L12,2)</f>
        <v>519.23</v>
      </c>
      <c r="M14" s="52"/>
      <c r="N14" s="46">
        <f>K13+N13</f>
        <v>8915.66</v>
      </c>
      <c r="O14" s="46">
        <f>ROUND((N14+O13)*0.2,2)</f>
        <v>1801.14</v>
      </c>
      <c r="P14" s="84"/>
      <c r="Q14" s="46"/>
      <c r="R14" s="83"/>
      <c r="S14" s="83"/>
      <c r="T14" s="135"/>
      <c r="U14" s="135"/>
      <c r="V14" s="60"/>
      <c r="W14" s="135"/>
      <c r="X14" s="133"/>
      <c r="Y14" s="24"/>
      <c r="Z14" s="24"/>
      <c r="AA14" s="24"/>
      <c r="AB14" s="24"/>
      <c r="AC14" s="24"/>
      <c r="AD14" s="24"/>
      <c r="AE14" s="24"/>
      <c r="AF14" s="24"/>
      <c r="AG14" s="56"/>
    </row>
    <row r="15" spans="1:33" s="22" customFormat="1" ht="15" customHeight="1" x14ac:dyDescent="0.25">
      <c r="A15" s="85" t="s">
        <v>43</v>
      </c>
      <c r="B15" s="86" t="s">
        <v>44</v>
      </c>
      <c r="C15" s="86"/>
      <c r="D15" s="86"/>
      <c r="E15" s="86"/>
      <c r="F15" s="46"/>
      <c r="G15" s="46"/>
      <c r="H15" s="46"/>
      <c r="I15" s="46"/>
      <c r="J15" s="52"/>
      <c r="K15" s="84"/>
      <c r="L15" s="46"/>
      <c r="M15" s="52"/>
      <c r="N15" s="46"/>
      <c r="O15" s="52"/>
      <c r="P15" s="84"/>
      <c r="Q15" s="62">
        <v>1350.36</v>
      </c>
      <c r="R15" s="83">
        <f>P15+Q15+Q16</f>
        <v>1620.4319999999998</v>
      </c>
      <c r="S15" s="83">
        <f>ROUND(R15*S10,2)</f>
        <v>1665.48</v>
      </c>
      <c r="T15" s="134">
        <v>0</v>
      </c>
      <c r="U15" s="134">
        <f>ROUND(S15*U10,2)</f>
        <v>1711.78</v>
      </c>
      <c r="V15" s="62">
        <f t="shared" ref="V15" si="1">ROUND($S15*V10*V12,2)</f>
        <v>0</v>
      </c>
      <c r="W15" s="134">
        <f>ROUND($S15*W10,2)</f>
        <v>0</v>
      </c>
      <c r="X15" s="132">
        <f>SUM(T15:W15)</f>
        <v>1711.78</v>
      </c>
      <c r="Y15" s="24"/>
      <c r="Z15" s="24"/>
      <c r="AA15" s="24"/>
      <c r="AB15" s="24"/>
      <c r="AC15" s="24"/>
      <c r="AD15" s="24"/>
      <c r="AE15" s="24"/>
      <c r="AF15" s="24"/>
    </row>
    <row r="16" spans="1:33" s="22" customFormat="1" ht="12" x14ac:dyDescent="0.25">
      <c r="A16" s="85"/>
      <c r="B16" s="86"/>
      <c r="C16" s="86"/>
      <c r="D16" s="86"/>
      <c r="E16" s="86"/>
      <c r="F16" s="46"/>
      <c r="G16" s="52"/>
      <c r="H16" s="46"/>
      <c r="I16" s="46"/>
      <c r="J16" s="52"/>
      <c r="K16" s="84"/>
      <c r="L16" s="52"/>
      <c r="M16" s="52"/>
      <c r="N16" s="46"/>
      <c r="O16" s="46"/>
      <c r="P16" s="84"/>
      <c r="Q16" s="62">
        <f>Q15*0.2</f>
        <v>270.072</v>
      </c>
      <c r="R16" s="83"/>
      <c r="S16" s="83"/>
      <c r="T16" s="135"/>
      <c r="U16" s="135"/>
      <c r="V16" s="62"/>
      <c r="W16" s="135"/>
      <c r="X16" s="133"/>
      <c r="Y16" s="24"/>
      <c r="Z16" s="24"/>
      <c r="AA16" s="24"/>
      <c r="AB16" s="24"/>
      <c r="AC16" s="24"/>
      <c r="AD16" s="24"/>
      <c r="AE16" s="24"/>
      <c r="AF16" s="24"/>
    </row>
    <row r="17" spans="1:33" s="22" customFormat="1" x14ac:dyDescent="0.25">
      <c r="A17" s="85" t="s">
        <v>45</v>
      </c>
      <c r="B17" s="86" t="s">
        <v>46</v>
      </c>
      <c r="C17" s="86"/>
      <c r="D17" s="86"/>
      <c r="E17" s="86"/>
      <c r="F17" s="50">
        <f>65.69+6.31</f>
        <v>72</v>
      </c>
      <c r="G17" s="53"/>
      <c r="H17" s="53"/>
      <c r="I17" s="50">
        <v>490.99</v>
      </c>
      <c r="J17" s="52"/>
      <c r="K17" s="84">
        <f>F18+G17+I17+I18+H17+H18+J17+J18</f>
        <v>1870.62</v>
      </c>
      <c r="L17" s="46">
        <f>ROUND((F18+G18)*L10,2)</f>
        <v>404.79</v>
      </c>
      <c r="M17" s="52"/>
      <c r="N17" s="46">
        <f>L17+L18</f>
        <v>404.79</v>
      </c>
      <c r="O17" s="52"/>
      <c r="P17" s="87">
        <f>N18+O18</f>
        <v>2730.49</v>
      </c>
      <c r="Q17" s="46"/>
      <c r="R17" s="83">
        <f>P17+Q17+Q18</f>
        <v>2730.49</v>
      </c>
      <c r="S17" s="83">
        <f>ROUND(R17*S10,2)</f>
        <v>2806.4</v>
      </c>
      <c r="T17" s="134">
        <v>0</v>
      </c>
      <c r="U17" s="134">
        <f>ROUND(S17*U10,2)</f>
        <v>2884.42</v>
      </c>
      <c r="V17" s="62">
        <f t="shared" ref="V17" si="2">ROUND($S17*V10*V12,2)</f>
        <v>0</v>
      </c>
      <c r="W17" s="134">
        <f>ROUND($S17*W10,2)</f>
        <v>0</v>
      </c>
      <c r="X17" s="132">
        <f>SUM(T17:W17)</f>
        <v>2884.42</v>
      </c>
      <c r="Y17" s="20">
        <v>9.0999999999999998E-2</v>
      </c>
      <c r="Z17" s="24"/>
      <c r="AA17" s="24"/>
      <c r="AB17" s="24"/>
      <c r="AC17" s="24"/>
      <c r="AD17" s="24"/>
      <c r="AE17" s="20">
        <v>6.51</v>
      </c>
      <c r="AF17" s="24"/>
    </row>
    <row r="18" spans="1:33" s="22" customFormat="1" ht="12.75" x14ac:dyDescent="0.25">
      <c r="A18" s="85"/>
      <c r="B18" s="86"/>
      <c r="C18" s="86"/>
      <c r="D18" s="86"/>
      <c r="E18" s="86"/>
      <c r="F18" s="50">
        <v>1190.57</v>
      </c>
      <c r="G18" s="53"/>
      <c r="H18" s="53"/>
      <c r="I18" s="50">
        <v>189.06</v>
      </c>
      <c r="J18" s="52"/>
      <c r="K18" s="84"/>
      <c r="L18" s="52"/>
      <c r="M18" s="52"/>
      <c r="N18" s="46">
        <f>K17+N17</f>
        <v>2275.41</v>
      </c>
      <c r="O18" s="46">
        <f>ROUND(N18*0.2,2)</f>
        <v>455.08</v>
      </c>
      <c r="P18" s="87"/>
      <c r="Q18" s="46"/>
      <c r="R18" s="83"/>
      <c r="S18" s="83"/>
      <c r="T18" s="135"/>
      <c r="U18" s="135"/>
      <c r="V18" s="62"/>
      <c r="W18" s="135"/>
      <c r="X18" s="133"/>
      <c r="Y18" s="24"/>
      <c r="Z18" s="24"/>
      <c r="AA18" s="24"/>
      <c r="AB18" s="24"/>
      <c r="AC18" s="24"/>
      <c r="AD18" s="24"/>
      <c r="AE18" s="24"/>
      <c r="AF18" s="24"/>
    </row>
    <row r="19" spans="1:33" s="22" customFormat="1" ht="17.25" customHeight="1" x14ac:dyDescent="0.25">
      <c r="A19" s="119"/>
      <c r="B19" s="120" t="s">
        <v>47</v>
      </c>
      <c r="C19" s="120"/>
      <c r="D19" s="120"/>
      <c r="E19" s="120"/>
      <c r="F19" s="47">
        <f t="shared" ref="F19:L19" si="3">F13+F15+F17</f>
        <v>257.39999999999998</v>
      </c>
      <c r="G19" s="47">
        <f t="shared" si="3"/>
        <v>179.33</v>
      </c>
      <c r="H19" s="47">
        <f t="shared" si="3"/>
        <v>3837.24</v>
      </c>
      <c r="I19" s="47">
        <f t="shared" si="3"/>
        <v>1219.71</v>
      </c>
      <c r="J19" s="47">
        <f t="shared" si="3"/>
        <v>69.69</v>
      </c>
      <c r="K19" s="121">
        <f t="shared" si="3"/>
        <v>9569.27</v>
      </c>
      <c r="L19" s="47">
        <f t="shared" si="3"/>
        <v>1102.57</v>
      </c>
      <c r="M19" s="54"/>
      <c r="N19" s="47">
        <f t="shared" ref="N19:W19" si="4">N13+N15+N17</f>
        <v>1621.8</v>
      </c>
      <c r="O19" s="47">
        <f t="shared" si="4"/>
        <v>90.06</v>
      </c>
      <c r="P19" s="95">
        <f t="shared" si="4"/>
        <v>13537.349999999999</v>
      </c>
      <c r="Q19" s="47">
        <f t="shared" si="4"/>
        <v>1350.36</v>
      </c>
      <c r="R19" s="94">
        <f t="shared" si="4"/>
        <v>15157.781999999997</v>
      </c>
      <c r="S19" s="94">
        <f t="shared" si="4"/>
        <v>15579.17</v>
      </c>
      <c r="T19" s="90">
        <f t="shared" si="4"/>
        <v>5630.29</v>
      </c>
      <c r="U19" s="90">
        <f t="shared" si="4"/>
        <v>10304.24</v>
      </c>
      <c r="V19" s="61">
        <f t="shared" si="4"/>
        <v>0</v>
      </c>
      <c r="W19" s="90">
        <f t="shared" si="4"/>
        <v>0</v>
      </c>
      <c r="X19" s="132">
        <f>X13+X15+X17</f>
        <v>15934.53</v>
      </c>
      <c r="Y19" s="24"/>
      <c r="Z19" s="24"/>
      <c r="AA19" s="24"/>
      <c r="AB19" s="24"/>
      <c r="AC19" s="24"/>
      <c r="AD19" s="24"/>
      <c r="AE19" s="24"/>
      <c r="AF19" s="24"/>
      <c r="AG19" s="56"/>
    </row>
    <row r="20" spans="1:33" s="22" customFormat="1" ht="18.75" customHeight="1" x14ac:dyDescent="0.25">
      <c r="A20" s="119"/>
      <c r="B20" s="120"/>
      <c r="C20" s="120"/>
      <c r="D20" s="120"/>
      <c r="E20" s="120"/>
      <c r="F20" s="47">
        <f>F14+F16+F18</f>
        <v>3183.91</v>
      </c>
      <c r="G20" s="47">
        <f>G14+G16+G18</f>
        <v>58.96</v>
      </c>
      <c r="H20" s="47">
        <f>H14+H16+H18</f>
        <v>223.91</v>
      </c>
      <c r="I20" s="47">
        <f>I14+I16+I18</f>
        <v>821.67000000000007</v>
      </c>
      <c r="J20" s="47">
        <f>J14+J16+J18</f>
        <v>33.81</v>
      </c>
      <c r="K20" s="122"/>
      <c r="L20" s="47">
        <f>L14+L16+L18</f>
        <v>519.23</v>
      </c>
      <c r="M20" s="54"/>
      <c r="N20" s="47">
        <f>N14+N16+N18</f>
        <v>11191.07</v>
      </c>
      <c r="O20" s="47">
        <f>O14+O16+O18</f>
        <v>2256.2200000000003</v>
      </c>
      <c r="P20" s="95"/>
      <c r="Q20" s="47">
        <f>Q14+Q16+Q18</f>
        <v>270.072</v>
      </c>
      <c r="R20" s="94"/>
      <c r="S20" s="94"/>
      <c r="T20" s="91"/>
      <c r="U20" s="91"/>
      <c r="V20" s="61"/>
      <c r="W20" s="91"/>
      <c r="X20" s="133"/>
      <c r="Y20" s="24"/>
      <c r="Z20" s="24"/>
      <c r="AA20" s="24"/>
      <c r="AB20" s="24"/>
      <c r="AC20" s="24"/>
      <c r="AD20" s="24"/>
      <c r="AE20" s="24"/>
      <c r="AF20" s="24"/>
    </row>
    <row r="21" spans="1:33" s="17" customFormat="1" ht="42" customHeight="1" x14ac:dyDescent="0.25">
      <c r="A21" s="14"/>
      <c r="B21" s="96" t="s">
        <v>61</v>
      </c>
      <c r="C21" s="97"/>
      <c r="D21" s="97"/>
      <c r="E21" s="98"/>
      <c r="F21" s="15"/>
      <c r="G21" s="15"/>
      <c r="H21" s="15"/>
      <c r="I21" s="15"/>
      <c r="J21" s="48"/>
      <c r="K21" s="15"/>
      <c r="L21" s="49"/>
      <c r="M21" s="15"/>
      <c r="N21" s="15"/>
      <c r="O21" s="15"/>
      <c r="P21" s="15"/>
      <c r="Q21" s="15"/>
      <c r="R21" s="81" t="s">
        <v>52</v>
      </c>
      <c r="S21" s="65" t="s">
        <v>53</v>
      </c>
      <c r="T21" s="66">
        <v>0.5</v>
      </c>
      <c r="U21" s="66">
        <v>0.5</v>
      </c>
      <c r="V21" s="66">
        <v>1</v>
      </c>
      <c r="W21" s="66">
        <v>0</v>
      </c>
      <c r="X21" s="57"/>
      <c r="Y21" s="16"/>
      <c r="Z21" s="16"/>
      <c r="AA21" s="16"/>
      <c r="AB21" s="16"/>
      <c r="AC21" s="16"/>
      <c r="AD21" s="16"/>
      <c r="AE21" s="16"/>
      <c r="AF21" s="16"/>
    </row>
    <row r="22" spans="1:33" s="71" customFormat="1" ht="18.75" customHeight="1" x14ac:dyDescent="0.25">
      <c r="A22" s="18"/>
      <c r="B22" s="126"/>
      <c r="C22" s="127"/>
      <c r="D22" s="127"/>
      <c r="E22" s="128"/>
      <c r="F22" s="19"/>
      <c r="G22" s="19"/>
      <c r="H22" s="19"/>
      <c r="I22" s="19"/>
      <c r="J22" s="67">
        <v>2.2020000000000001E-2</v>
      </c>
      <c r="K22" s="19"/>
      <c r="L22" s="68">
        <v>0.253</v>
      </c>
      <c r="M22" s="19"/>
      <c r="N22" s="19"/>
      <c r="O22" s="19"/>
      <c r="P22" s="19"/>
      <c r="Q22" s="19"/>
      <c r="R22" s="58"/>
      <c r="S22" s="58"/>
      <c r="T22" s="59"/>
      <c r="U22" s="59"/>
      <c r="V22" s="59"/>
      <c r="W22" s="59"/>
      <c r="X22" s="58"/>
      <c r="Y22" s="69">
        <v>1.0999999999999999E-2</v>
      </c>
      <c r="Z22" s="16"/>
      <c r="AA22" s="16"/>
      <c r="AB22" s="69">
        <v>4.0000000000000001E-3</v>
      </c>
      <c r="AC22" s="69">
        <v>0.42099999999999999</v>
      </c>
      <c r="AD22" s="16"/>
      <c r="AE22" s="69">
        <v>0.45</v>
      </c>
      <c r="AF22" s="70">
        <f>AE22*1000-(K23-J23-J24+Q25)</f>
        <v>-1797.1099999999997</v>
      </c>
    </row>
    <row r="23" spans="1:33" s="71" customFormat="1" ht="15" customHeight="1" x14ac:dyDescent="0.25">
      <c r="A23" s="85" t="s">
        <v>41</v>
      </c>
      <c r="B23" s="86" t="s">
        <v>42</v>
      </c>
      <c r="C23" s="86"/>
      <c r="D23" s="86"/>
      <c r="E23" s="86"/>
      <c r="F23" s="72">
        <v>42.74</v>
      </c>
      <c r="G23" s="72">
        <v>4.0999999999999996</v>
      </c>
      <c r="H23" s="72">
        <v>255.74</v>
      </c>
      <c r="I23" s="72">
        <v>169.18</v>
      </c>
      <c r="J23" s="73">
        <f>ROUND((F24/1.35+G24)*J10,2)</f>
        <v>15.74</v>
      </c>
      <c r="K23" s="84">
        <f>F24+G23+I23+I24+H23+H24+J23+J24</f>
        <v>1071.22</v>
      </c>
      <c r="L23" s="64">
        <f>ROUND((F24+G24)*L10,2)</f>
        <v>159.19</v>
      </c>
      <c r="M23" s="19"/>
      <c r="N23" s="64">
        <f>L23+L24</f>
        <v>277.64999999999998</v>
      </c>
      <c r="O23" s="79">
        <f>ROUND(N24/99,2)</f>
        <v>13.62</v>
      </c>
      <c r="P23" s="84">
        <f>N24+O24+O23</f>
        <v>1634.9899999999998</v>
      </c>
      <c r="Q23" s="64"/>
      <c r="R23" s="83">
        <f>P23+Q23+Q24</f>
        <v>1634.9899999999998</v>
      </c>
      <c r="S23" s="83">
        <f>ROUND(R23*S10,2)</f>
        <v>1680.44</v>
      </c>
      <c r="T23" s="134">
        <f>ROUND(S23*T10*T21,2)</f>
        <v>851.82</v>
      </c>
      <c r="U23" s="134">
        <f>ROUND(S23*U10*U21,2)</f>
        <v>863.58</v>
      </c>
      <c r="V23" s="74">
        <f t="shared" ref="V23" si="5">U23*V20*V21</f>
        <v>0</v>
      </c>
      <c r="W23" s="134">
        <f>ROUND(S23*W10*W21,2)</f>
        <v>0</v>
      </c>
      <c r="X23" s="132">
        <f>SUM(T23:W23)</f>
        <v>1715.4</v>
      </c>
      <c r="Y23" s="16"/>
      <c r="Z23" s="16"/>
      <c r="AA23" s="16"/>
      <c r="AB23" s="69">
        <v>4.0000000000000001E-3</v>
      </c>
      <c r="AC23" s="69">
        <v>8.0000000000000002E-3</v>
      </c>
      <c r="AD23" s="16"/>
      <c r="AE23" s="75">
        <v>2</v>
      </c>
      <c r="AF23" s="76"/>
    </row>
    <row r="24" spans="1:33" s="22" customFormat="1" ht="12.75" x14ac:dyDescent="0.25">
      <c r="A24" s="85"/>
      <c r="B24" s="86"/>
      <c r="C24" s="86"/>
      <c r="D24" s="86"/>
      <c r="E24" s="86"/>
      <c r="F24" s="50">
        <v>468.21</v>
      </c>
      <c r="G24" s="53"/>
      <c r="H24" s="50">
        <v>15.74</v>
      </c>
      <c r="I24" s="50">
        <v>134.87</v>
      </c>
      <c r="J24" s="51">
        <f>ROUND((F24/1.35+G24)*$J22,2)</f>
        <v>7.64</v>
      </c>
      <c r="K24" s="84"/>
      <c r="L24" s="51">
        <f>ROUND((F24+G24)*$L22,2)</f>
        <v>118.46</v>
      </c>
      <c r="M24" s="52"/>
      <c r="N24" s="46">
        <f>K23+N23</f>
        <v>1348.87</v>
      </c>
      <c r="O24" s="46">
        <f>ROUND((N24+O23)*0.2,2)</f>
        <v>272.5</v>
      </c>
      <c r="P24" s="84"/>
      <c r="Q24" s="46"/>
      <c r="R24" s="83"/>
      <c r="S24" s="83"/>
      <c r="T24" s="135"/>
      <c r="U24" s="135"/>
      <c r="V24" s="60"/>
      <c r="W24" s="135"/>
      <c r="X24" s="133"/>
      <c r="Y24" s="24"/>
      <c r="Z24" s="24"/>
      <c r="AA24" s="24"/>
      <c r="AB24" s="24"/>
      <c r="AC24" s="24"/>
      <c r="AD24" s="24"/>
      <c r="AE24" s="24"/>
      <c r="AF24" s="24"/>
    </row>
    <row r="25" spans="1:33" s="22" customFormat="1" ht="15" customHeight="1" x14ac:dyDescent="0.25">
      <c r="A25" s="85" t="s">
        <v>43</v>
      </c>
      <c r="B25" s="86" t="s">
        <v>44</v>
      </c>
      <c r="C25" s="86"/>
      <c r="D25" s="86"/>
      <c r="E25" s="86"/>
      <c r="F25" s="46"/>
      <c r="G25" s="46"/>
      <c r="H25" s="46"/>
      <c r="I25" s="46"/>
      <c r="J25" s="52"/>
      <c r="K25" s="84"/>
      <c r="L25" s="46"/>
      <c r="M25" s="52"/>
      <c r="N25" s="46"/>
      <c r="O25" s="52"/>
      <c r="P25" s="84"/>
      <c r="Q25" s="63">
        <v>1199.27</v>
      </c>
      <c r="R25" s="83">
        <f>P25+Q25+Q26</f>
        <v>1439.124</v>
      </c>
      <c r="S25" s="83">
        <f>ROUND(R25*S10,2)</f>
        <v>1479.13</v>
      </c>
      <c r="T25" s="134">
        <f>ROUND(S25*T12*T23,2)</f>
        <v>0</v>
      </c>
      <c r="U25" s="134">
        <f>ROUND(S25*U10,2)</f>
        <v>1520.25</v>
      </c>
      <c r="V25" s="63">
        <f t="shared" ref="V25" si="6">ROUND($S25*V20*V22,2)</f>
        <v>0</v>
      </c>
      <c r="W25" s="134">
        <f>ROUND(S25*W10,2)</f>
        <v>0</v>
      </c>
      <c r="X25" s="132">
        <f>SUM(T25:W25)</f>
        <v>1520.25</v>
      </c>
      <c r="Y25" s="24"/>
      <c r="Z25" s="24"/>
      <c r="AA25" s="24"/>
      <c r="AB25" s="24"/>
      <c r="AC25" s="24"/>
      <c r="AD25" s="24"/>
      <c r="AE25" s="24"/>
      <c r="AF25" s="24"/>
    </row>
    <row r="26" spans="1:33" s="22" customFormat="1" ht="12" x14ac:dyDescent="0.25">
      <c r="A26" s="85"/>
      <c r="B26" s="86"/>
      <c r="C26" s="86"/>
      <c r="D26" s="86"/>
      <c r="E26" s="86"/>
      <c r="F26" s="46"/>
      <c r="G26" s="52"/>
      <c r="H26" s="46"/>
      <c r="I26" s="46"/>
      <c r="J26" s="52"/>
      <c r="K26" s="84"/>
      <c r="L26" s="52"/>
      <c r="M26" s="52"/>
      <c r="N26" s="46"/>
      <c r="O26" s="46"/>
      <c r="P26" s="84"/>
      <c r="Q26" s="63">
        <f>Q25*0.2</f>
        <v>239.85400000000001</v>
      </c>
      <c r="R26" s="83"/>
      <c r="S26" s="83"/>
      <c r="T26" s="135"/>
      <c r="U26" s="135"/>
      <c r="V26" s="63"/>
      <c r="W26" s="135"/>
      <c r="X26" s="133"/>
      <c r="Y26" s="24"/>
      <c r="Z26" s="24"/>
      <c r="AA26" s="24"/>
      <c r="AB26" s="24"/>
      <c r="AC26" s="24"/>
      <c r="AD26" s="24"/>
      <c r="AE26" s="24"/>
      <c r="AF26" s="24"/>
    </row>
    <row r="27" spans="1:33" s="22" customFormat="1" x14ac:dyDescent="0.25">
      <c r="A27" s="85" t="s">
        <v>45</v>
      </c>
      <c r="B27" s="86" t="s">
        <v>46</v>
      </c>
      <c r="C27" s="86"/>
      <c r="D27" s="86"/>
      <c r="E27" s="86"/>
      <c r="F27" s="50">
        <f>13.52+26.04</f>
        <v>39.56</v>
      </c>
      <c r="G27" s="53"/>
      <c r="H27" s="53"/>
      <c r="I27" s="50">
        <v>269.77</v>
      </c>
      <c r="J27" s="52"/>
      <c r="K27" s="84">
        <f>F28+G27+I27+I28+H27+H28+J27+J28</f>
        <v>1027.79</v>
      </c>
      <c r="L27" s="46">
        <f>ROUND((F28+G28)*L10,2)</f>
        <v>222.41</v>
      </c>
      <c r="M27" s="52"/>
      <c r="N27" s="46">
        <f>L27+L28</f>
        <v>222.41</v>
      </c>
      <c r="O27" s="52"/>
      <c r="P27" s="87">
        <f>N28+O28</f>
        <v>1500.24</v>
      </c>
      <c r="Q27" s="46"/>
      <c r="R27" s="83">
        <f>P27+Q27+Q28</f>
        <v>1500.24</v>
      </c>
      <c r="S27" s="83">
        <f>ROUND(R27*S10,2)</f>
        <v>1541.95</v>
      </c>
      <c r="T27" s="134">
        <f>S27*T20</f>
        <v>0</v>
      </c>
      <c r="U27" s="134">
        <f>ROUND($S27*U10,2)</f>
        <v>1584.82</v>
      </c>
      <c r="V27" s="60">
        <f t="shared" ref="V27:W27" si="7">ROUND($S27*V20*V22,2)</f>
        <v>0</v>
      </c>
      <c r="W27" s="134">
        <f t="shared" si="7"/>
        <v>0</v>
      </c>
      <c r="X27" s="132">
        <f>SUM(T27:W27)</f>
        <v>1584.82</v>
      </c>
      <c r="Y27" s="20">
        <v>9.0999999999999998E-2</v>
      </c>
      <c r="Z27" s="24"/>
      <c r="AA27" s="24"/>
      <c r="AB27" s="24"/>
      <c r="AC27" s="24"/>
      <c r="AD27" s="24"/>
      <c r="AE27" s="20">
        <v>6.51</v>
      </c>
      <c r="AF27" s="24"/>
    </row>
    <row r="28" spans="1:33" s="22" customFormat="1" ht="12.75" x14ac:dyDescent="0.25">
      <c r="A28" s="85"/>
      <c r="B28" s="86"/>
      <c r="C28" s="86"/>
      <c r="D28" s="86"/>
      <c r="E28" s="86"/>
      <c r="F28" s="50">
        <v>654.14</v>
      </c>
      <c r="G28" s="53"/>
      <c r="H28" s="53"/>
      <c r="I28" s="50">
        <v>103.88</v>
      </c>
      <c r="J28" s="52"/>
      <c r="K28" s="84"/>
      <c r="L28" s="52"/>
      <c r="M28" s="52"/>
      <c r="N28" s="46">
        <f>K27+N27</f>
        <v>1250.2</v>
      </c>
      <c r="O28" s="46">
        <f>ROUND(N28*0.2,2)</f>
        <v>250.04</v>
      </c>
      <c r="P28" s="87"/>
      <c r="Q28" s="46"/>
      <c r="R28" s="83"/>
      <c r="S28" s="83"/>
      <c r="T28" s="135"/>
      <c r="U28" s="135"/>
      <c r="V28" s="60"/>
      <c r="W28" s="135"/>
      <c r="X28" s="133"/>
      <c r="Y28" s="24"/>
      <c r="Z28" s="24"/>
      <c r="AA28" s="24"/>
      <c r="AB28" s="24"/>
      <c r="AC28" s="24"/>
      <c r="AD28" s="24"/>
      <c r="AE28" s="24"/>
      <c r="AF28" s="24"/>
    </row>
    <row r="29" spans="1:33" s="22" customFormat="1" ht="17.25" customHeight="1" x14ac:dyDescent="0.25">
      <c r="A29" s="119"/>
      <c r="B29" s="120" t="s">
        <v>47</v>
      </c>
      <c r="C29" s="120"/>
      <c r="D29" s="120"/>
      <c r="E29" s="120"/>
      <c r="F29" s="47">
        <f t="shared" ref="F29:L29" si="8">F23+F25+F27</f>
        <v>82.300000000000011</v>
      </c>
      <c r="G29" s="47">
        <f t="shared" si="8"/>
        <v>4.0999999999999996</v>
      </c>
      <c r="H29" s="47">
        <f t="shared" si="8"/>
        <v>255.74</v>
      </c>
      <c r="I29" s="47">
        <f t="shared" si="8"/>
        <v>438.95</v>
      </c>
      <c r="J29" s="47">
        <f t="shared" si="8"/>
        <v>15.74</v>
      </c>
      <c r="K29" s="121">
        <f t="shared" si="8"/>
        <v>2099.0100000000002</v>
      </c>
      <c r="L29" s="47">
        <f t="shared" si="8"/>
        <v>381.6</v>
      </c>
      <c r="M29" s="54"/>
      <c r="N29" s="47">
        <f t="shared" ref="N29:W29" si="9">N23+N25+N27</f>
        <v>500.05999999999995</v>
      </c>
      <c r="O29" s="47">
        <f t="shared" si="9"/>
        <v>13.62</v>
      </c>
      <c r="P29" s="95">
        <f t="shared" si="9"/>
        <v>3135.2299999999996</v>
      </c>
      <c r="Q29" s="47">
        <f t="shared" si="9"/>
        <v>1199.27</v>
      </c>
      <c r="R29" s="94">
        <f t="shared" si="9"/>
        <v>4574.3539999999994</v>
      </c>
      <c r="S29" s="94">
        <f t="shared" si="9"/>
        <v>4701.5200000000004</v>
      </c>
      <c r="T29" s="90">
        <f t="shared" si="9"/>
        <v>851.82</v>
      </c>
      <c r="U29" s="90">
        <f t="shared" si="9"/>
        <v>3968.6499999999996</v>
      </c>
      <c r="V29" s="61">
        <f t="shared" si="9"/>
        <v>0</v>
      </c>
      <c r="W29" s="90">
        <f t="shared" si="9"/>
        <v>0</v>
      </c>
      <c r="X29" s="132">
        <f>X23+X25+X27</f>
        <v>4820.47</v>
      </c>
      <c r="Y29" s="24"/>
      <c r="Z29" s="24"/>
      <c r="AA29" s="24"/>
      <c r="AB29" s="24"/>
      <c r="AC29" s="24"/>
      <c r="AD29" s="24"/>
      <c r="AE29" s="24"/>
      <c r="AF29" s="24"/>
      <c r="AG29" s="56"/>
    </row>
    <row r="30" spans="1:33" s="22" customFormat="1" ht="18.75" customHeight="1" x14ac:dyDescent="0.25">
      <c r="A30" s="119"/>
      <c r="B30" s="120"/>
      <c r="C30" s="120"/>
      <c r="D30" s="120"/>
      <c r="E30" s="120"/>
      <c r="F30" s="47">
        <f>F24+F26+F28</f>
        <v>1122.3499999999999</v>
      </c>
      <c r="G30" s="47">
        <f>G24+G26+G28</f>
        <v>0</v>
      </c>
      <c r="H30" s="47">
        <f>H24+H26+H28</f>
        <v>15.74</v>
      </c>
      <c r="I30" s="47">
        <f>I24+I26+I28</f>
        <v>238.75</v>
      </c>
      <c r="J30" s="47">
        <f>J24+J26+J28</f>
        <v>7.64</v>
      </c>
      <c r="K30" s="122"/>
      <c r="L30" s="47">
        <f>L24+L26+L28</f>
        <v>118.46</v>
      </c>
      <c r="M30" s="54"/>
      <c r="N30" s="47">
        <f>N24+N26+N28</f>
        <v>2599.0699999999997</v>
      </c>
      <c r="O30" s="47">
        <f>O24+O26+O28</f>
        <v>522.54</v>
      </c>
      <c r="P30" s="95"/>
      <c r="Q30" s="47">
        <f>Q24+Q26+Q28</f>
        <v>239.85400000000001</v>
      </c>
      <c r="R30" s="94"/>
      <c r="S30" s="94"/>
      <c r="T30" s="91"/>
      <c r="U30" s="91"/>
      <c r="V30" s="61"/>
      <c r="W30" s="91"/>
      <c r="X30" s="133"/>
      <c r="Y30" s="24"/>
      <c r="Z30" s="24"/>
      <c r="AA30" s="24"/>
      <c r="AB30" s="24"/>
      <c r="AC30" s="24"/>
      <c r="AD30" s="24"/>
      <c r="AE30" s="24"/>
      <c r="AF30" s="24"/>
    </row>
    <row r="31" spans="1:33" s="17" customFormat="1" ht="41.25" customHeight="1" x14ac:dyDescent="0.25">
      <c r="A31" s="14"/>
      <c r="B31" s="96" t="s">
        <v>62</v>
      </c>
      <c r="C31" s="97"/>
      <c r="D31" s="97"/>
      <c r="E31" s="98"/>
      <c r="F31" s="15"/>
      <c r="G31" s="15"/>
      <c r="H31" s="15"/>
      <c r="I31" s="15"/>
      <c r="J31" s="48"/>
      <c r="K31" s="15"/>
      <c r="L31" s="49"/>
      <c r="M31" s="15"/>
      <c r="N31" s="15"/>
      <c r="O31" s="15"/>
      <c r="P31" s="15"/>
      <c r="Q31" s="15"/>
      <c r="R31" s="81" t="s">
        <v>52</v>
      </c>
      <c r="S31" s="65" t="s">
        <v>53</v>
      </c>
      <c r="T31" s="66">
        <v>0.5</v>
      </c>
      <c r="U31" s="66">
        <v>0.5</v>
      </c>
      <c r="V31" s="66">
        <v>1</v>
      </c>
      <c r="W31" s="66">
        <v>0</v>
      </c>
      <c r="X31" s="57"/>
      <c r="Y31" s="16"/>
      <c r="Z31" s="16"/>
      <c r="AA31" s="16"/>
      <c r="AB31" s="16"/>
      <c r="AC31" s="16"/>
      <c r="AD31" s="16"/>
      <c r="AE31" s="16"/>
      <c r="AF31" s="16"/>
    </row>
    <row r="32" spans="1:33" s="22" customFormat="1" ht="18.75" customHeight="1" x14ac:dyDescent="0.25">
      <c r="A32" s="18"/>
      <c r="B32" s="129"/>
      <c r="C32" s="130"/>
      <c r="D32" s="130"/>
      <c r="E32" s="131"/>
      <c r="F32" s="19"/>
      <c r="G32" s="19"/>
      <c r="H32" s="19"/>
      <c r="I32" s="19"/>
      <c r="J32" s="67">
        <v>2.2020000000000001E-2</v>
      </c>
      <c r="K32" s="19"/>
      <c r="L32" s="68">
        <v>0.253</v>
      </c>
      <c r="M32" s="19"/>
      <c r="N32" s="19"/>
      <c r="O32" s="19"/>
      <c r="P32" s="19"/>
      <c r="Q32" s="19"/>
      <c r="R32" s="58"/>
      <c r="S32" s="58"/>
      <c r="T32" s="59"/>
      <c r="U32" s="59"/>
      <c r="V32" s="59"/>
      <c r="W32" s="59"/>
      <c r="X32" s="58"/>
      <c r="Y32" s="20">
        <v>1.0999999999999999E-2</v>
      </c>
      <c r="Z32" s="4"/>
      <c r="AA32" s="4"/>
      <c r="AB32" s="20">
        <v>4.0000000000000001E-3</v>
      </c>
      <c r="AC32" s="20">
        <v>0.42099999999999999</v>
      </c>
      <c r="AD32" s="4"/>
      <c r="AE32" s="20">
        <v>0.45</v>
      </c>
      <c r="AF32" s="21">
        <f>AE32*1000-(K33-J33-J34+Q35)</f>
        <v>-6297.84</v>
      </c>
    </row>
    <row r="33" spans="1:33" s="22" customFormat="1" ht="15" customHeight="1" x14ac:dyDescent="0.25">
      <c r="A33" s="85" t="s">
        <v>41</v>
      </c>
      <c r="B33" s="86" t="s">
        <v>42</v>
      </c>
      <c r="C33" s="86"/>
      <c r="D33" s="86"/>
      <c r="E33" s="86"/>
      <c r="F33" s="72">
        <v>137.75</v>
      </c>
      <c r="G33" s="72">
        <v>177.37</v>
      </c>
      <c r="H33" s="72">
        <v>1542.41</v>
      </c>
      <c r="I33" s="72">
        <v>575.13</v>
      </c>
      <c r="J33" s="73">
        <f>ROUND((F34/1.35+G34)*J10,2)</f>
        <v>49.42</v>
      </c>
      <c r="K33" s="84">
        <f>F34+G33+I33+I34+H33+H34+J33+J34</f>
        <v>4319.7699999999995</v>
      </c>
      <c r="L33" s="79">
        <f>ROUND((F34+G34)*L10,2)</f>
        <v>492.76</v>
      </c>
      <c r="M33" s="19"/>
      <c r="N33" s="79">
        <f>L33+L34</f>
        <v>859.43000000000006</v>
      </c>
      <c r="O33" s="79">
        <f>ROUND(N34/99,2)</f>
        <v>52.32</v>
      </c>
      <c r="P33" s="84">
        <f>N34+O34+O33</f>
        <v>6277.82</v>
      </c>
      <c r="Q33" s="79"/>
      <c r="R33" s="83">
        <f>P33+Q33+Q34</f>
        <v>6277.82</v>
      </c>
      <c r="S33" s="83">
        <f>ROUND(R33*S10,2)</f>
        <v>6452.34</v>
      </c>
      <c r="T33" s="134">
        <f>ROUND(S33*T10*T31,2)</f>
        <v>3270.69</v>
      </c>
      <c r="U33" s="134">
        <f>ROUND(S33*U10*U31,2)</f>
        <v>3315.86</v>
      </c>
      <c r="V33" s="74">
        <f t="shared" ref="V33" si="10">U33*V30*V31</f>
        <v>0</v>
      </c>
      <c r="W33" s="134">
        <f>ROUND(S33*W20*W31,2)</f>
        <v>0</v>
      </c>
      <c r="X33" s="132">
        <f>SUM(T33:W33)</f>
        <v>6586.55</v>
      </c>
      <c r="Y33" s="4"/>
      <c r="Z33" s="4"/>
      <c r="AA33" s="4"/>
      <c r="AB33" s="20">
        <v>4.0000000000000001E-3</v>
      </c>
      <c r="AC33" s="20">
        <v>8.0000000000000002E-3</v>
      </c>
      <c r="AD33" s="4"/>
      <c r="AE33" s="23">
        <v>2</v>
      </c>
      <c r="AF33" s="24"/>
    </row>
    <row r="34" spans="1:33" s="22" customFormat="1" ht="12.75" x14ac:dyDescent="0.25">
      <c r="A34" s="85"/>
      <c r="B34" s="86"/>
      <c r="C34" s="86"/>
      <c r="D34" s="86"/>
      <c r="E34" s="86"/>
      <c r="F34" s="50">
        <v>1390.32</v>
      </c>
      <c r="G34" s="53">
        <v>58.96</v>
      </c>
      <c r="H34" s="50">
        <v>92.33</v>
      </c>
      <c r="I34" s="50">
        <v>468.81</v>
      </c>
      <c r="J34" s="51">
        <f>ROUND((F34/1.35+G34)*$J32,2)</f>
        <v>23.98</v>
      </c>
      <c r="K34" s="84"/>
      <c r="L34" s="51">
        <f>ROUND((F34+G34)*$L32,2)</f>
        <v>366.67</v>
      </c>
      <c r="M34" s="52"/>
      <c r="N34" s="78">
        <f>K33+N33</f>
        <v>5179.2</v>
      </c>
      <c r="O34" s="78">
        <f>ROUND((N34+O33)*0.2,2)</f>
        <v>1046.3</v>
      </c>
      <c r="P34" s="84"/>
      <c r="Q34" s="78"/>
      <c r="R34" s="83"/>
      <c r="S34" s="83"/>
      <c r="T34" s="135"/>
      <c r="U34" s="135"/>
      <c r="V34" s="77"/>
      <c r="W34" s="135"/>
      <c r="X34" s="133"/>
      <c r="Y34" s="24"/>
      <c r="Z34" s="24"/>
      <c r="AA34" s="24"/>
      <c r="AB34" s="24"/>
      <c r="AC34" s="24"/>
      <c r="AD34" s="24"/>
      <c r="AE34" s="24"/>
      <c r="AF34" s="24"/>
    </row>
    <row r="35" spans="1:33" s="22" customFormat="1" ht="15" customHeight="1" x14ac:dyDescent="0.25">
      <c r="A35" s="85" t="s">
        <v>43</v>
      </c>
      <c r="B35" s="86" t="s">
        <v>44</v>
      </c>
      <c r="C35" s="86"/>
      <c r="D35" s="86"/>
      <c r="E35" s="86"/>
      <c r="F35" s="78"/>
      <c r="G35" s="78"/>
      <c r="H35" s="78"/>
      <c r="I35" s="78"/>
      <c r="J35" s="52"/>
      <c r="K35" s="84"/>
      <c r="L35" s="78"/>
      <c r="M35" s="52"/>
      <c r="N35" s="78"/>
      <c r="O35" s="52"/>
      <c r="P35" s="84"/>
      <c r="Q35" s="77">
        <v>2501.4699999999998</v>
      </c>
      <c r="R35" s="83">
        <f>P35+Q35+Q36</f>
        <v>3001.7639999999997</v>
      </c>
      <c r="S35" s="83">
        <f>ROUND(R35*S10,2)</f>
        <v>3085.21</v>
      </c>
      <c r="T35" s="134">
        <f>ROUND(S35*T22*T33,2)</f>
        <v>0</v>
      </c>
      <c r="U35" s="134">
        <f>ROUND(S35*U10,2)</f>
        <v>3170.98</v>
      </c>
      <c r="V35" s="77">
        <f t="shared" ref="V35" si="11">ROUND($S35*V30*V32,2)</f>
        <v>0</v>
      </c>
      <c r="W35" s="134">
        <f>ROUND(S35*W20,2)</f>
        <v>0</v>
      </c>
      <c r="X35" s="132">
        <f>SUM(T35:W35)</f>
        <v>3170.98</v>
      </c>
      <c r="Y35" s="24"/>
      <c r="Z35" s="24"/>
      <c r="AA35" s="24"/>
      <c r="AB35" s="24"/>
      <c r="AC35" s="24"/>
      <c r="AD35" s="24"/>
      <c r="AE35" s="24"/>
      <c r="AF35" s="24"/>
    </row>
    <row r="36" spans="1:33" s="22" customFormat="1" ht="12" x14ac:dyDescent="0.25">
      <c r="A36" s="85"/>
      <c r="B36" s="86"/>
      <c r="C36" s="86"/>
      <c r="D36" s="86"/>
      <c r="E36" s="86"/>
      <c r="F36" s="78"/>
      <c r="G36" s="52"/>
      <c r="H36" s="78"/>
      <c r="I36" s="78"/>
      <c r="J36" s="52"/>
      <c r="K36" s="84"/>
      <c r="L36" s="52"/>
      <c r="M36" s="52"/>
      <c r="N36" s="78"/>
      <c r="O36" s="78"/>
      <c r="P36" s="84"/>
      <c r="Q36" s="77">
        <f>Q35*0.2</f>
        <v>500.29399999999998</v>
      </c>
      <c r="R36" s="83"/>
      <c r="S36" s="83"/>
      <c r="T36" s="135"/>
      <c r="U36" s="135"/>
      <c r="V36" s="77"/>
      <c r="W36" s="135"/>
      <c r="X36" s="133"/>
      <c r="Y36" s="24"/>
      <c r="Z36" s="24"/>
      <c r="AA36" s="24"/>
      <c r="AB36" s="24"/>
      <c r="AC36" s="24"/>
      <c r="AD36" s="24"/>
      <c r="AE36" s="24"/>
      <c r="AF36" s="24"/>
    </row>
    <row r="37" spans="1:33" s="22" customFormat="1" x14ac:dyDescent="0.25">
      <c r="A37" s="85" t="s">
        <v>45</v>
      </c>
      <c r="B37" s="86" t="s">
        <v>46</v>
      </c>
      <c r="C37" s="86"/>
      <c r="D37" s="86"/>
      <c r="E37" s="86"/>
      <c r="F37" s="50">
        <v>175.57</v>
      </c>
      <c r="G37" s="53"/>
      <c r="H37" s="53"/>
      <c r="I37" s="50">
        <f>620.16+577.1</f>
        <v>1197.26</v>
      </c>
      <c r="J37" s="52"/>
      <c r="K37" s="84">
        <f>F38+G37+I37+I38+H37+H38+J37+J38</f>
        <v>4561.41</v>
      </c>
      <c r="L37" s="78">
        <f>ROUND((F38+G38)*L10,2)</f>
        <v>987.07</v>
      </c>
      <c r="M37" s="52"/>
      <c r="N37" s="78">
        <f>L37+L38</f>
        <v>987.07</v>
      </c>
      <c r="O37" s="52"/>
      <c r="P37" s="87">
        <f>N38+O38</f>
        <v>6658.1799999999994</v>
      </c>
      <c r="Q37" s="78"/>
      <c r="R37" s="83">
        <f>P37+Q37+Q38</f>
        <v>6658.1799999999994</v>
      </c>
      <c r="S37" s="83">
        <f>ROUND(R37*S10,2)</f>
        <v>6843.28</v>
      </c>
      <c r="T37" s="134">
        <f>S37*T30</f>
        <v>0</v>
      </c>
      <c r="U37" s="134">
        <f>ROUND($S37*U10,2)</f>
        <v>7033.52</v>
      </c>
      <c r="V37" s="77">
        <f t="shared" ref="V37:W37" si="12">ROUND($S37*V30*V32,2)</f>
        <v>0</v>
      </c>
      <c r="W37" s="134">
        <f t="shared" si="12"/>
        <v>0</v>
      </c>
      <c r="X37" s="132">
        <f>SUM(T37:W37)</f>
        <v>7033.52</v>
      </c>
      <c r="Y37" s="20">
        <v>9.0999999999999998E-2</v>
      </c>
      <c r="Z37" s="24"/>
      <c r="AA37" s="24"/>
      <c r="AB37" s="24"/>
      <c r="AC37" s="24"/>
      <c r="AD37" s="24"/>
      <c r="AE37" s="20">
        <v>6.51</v>
      </c>
      <c r="AF37" s="24"/>
    </row>
    <row r="38" spans="1:33" s="22" customFormat="1" ht="12.75" x14ac:dyDescent="0.25">
      <c r="A38" s="85"/>
      <c r="B38" s="86"/>
      <c r="C38" s="86"/>
      <c r="D38" s="86"/>
      <c r="E38" s="86"/>
      <c r="F38" s="50">
        <f>1503.77+1399.37</f>
        <v>2903.14</v>
      </c>
      <c r="G38" s="53"/>
      <c r="H38" s="53"/>
      <c r="I38" s="50">
        <f>238.79+222.22</f>
        <v>461.01</v>
      </c>
      <c r="J38" s="52"/>
      <c r="K38" s="84"/>
      <c r="L38" s="52"/>
      <c r="M38" s="52"/>
      <c r="N38" s="78">
        <f>K37+N37</f>
        <v>5548.48</v>
      </c>
      <c r="O38" s="78">
        <f>ROUND(N38*0.2,2)</f>
        <v>1109.7</v>
      </c>
      <c r="P38" s="87"/>
      <c r="Q38" s="78"/>
      <c r="R38" s="83"/>
      <c r="S38" s="83"/>
      <c r="T38" s="135"/>
      <c r="U38" s="135"/>
      <c r="V38" s="77"/>
      <c r="W38" s="135"/>
      <c r="X38" s="133"/>
      <c r="Y38" s="24"/>
      <c r="Z38" s="24"/>
      <c r="AA38" s="24"/>
      <c r="AB38" s="24"/>
      <c r="AC38" s="24"/>
      <c r="AD38" s="24"/>
      <c r="AE38" s="24"/>
      <c r="AF38" s="24"/>
    </row>
    <row r="39" spans="1:33" s="22" customFormat="1" ht="17.25" customHeight="1" x14ac:dyDescent="0.25">
      <c r="A39" s="119"/>
      <c r="B39" s="120" t="s">
        <v>47</v>
      </c>
      <c r="C39" s="120"/>
      <c r="D39" s="120"/>
      <c r="E39" s="120"/>
      <c r="F39" s="47">
        <f t="shared" ref="F39:L39" si="13">F33+F35+F37</f>
        <v>313.32</v>
      </c>
      <c r="G39" s="47">
        <f t="shared" si="13"/>
        <v>177.37</v>
      </c>
      <c r="H39" s="47">
        <f t="shared" si="13"/>
        <v>1542.41</v>
      </c>
      <c r="I39" s="47">
        <f t="shared" si="13"/>
        <v>1772.3899999999999</v>
      </c>
      <c r="J39" s="47">
        <f t="shared" si="13"/>
        <v>49.42</v>
      </c>
      <c r="K39" s="121">
        <f t="shared" si="13"/>
        <v>8881.18</v>
      </c>
      <c r="L39" s="47">
        <f t="shared" si="13"/>
        <v>1479.83</v>
      </c>
      <c r="M39" s="54"/>
      <c r="N39" s="47">
        <f t="shared" ref="N39:W39" si="14">N33+N35+N37</f>
        <v>1846.5</v>
      </c>
      <c r="O39" s="47">
        <f t="shared" si="14"/>
        <v>52.32</v>
      </c>
      <c r="P39" s="95">
        <f t="shared" si="14"/>
        <v>12936</v>
      </c>
      <c r="Q39" s="47">
        <f t="shared" si="14"/>
        <v>2501.4699999999998</v>
      </c>
      <c r="R39" s="94">
        <f t="shared" si="14"/>
        <v>15937.763999999999</v>
      </c>
      <c r="S39" s="94">
        <f t="shared" si="14"/>
        <v>16380.829999999998</v>
      </c>
      <c r="T39" s="90">
        <f t="shared" si="14"/>
        <v>3270.69</v>
      </c>
      <c r="U39" s="90">
        <f t="shared" si="14"/>
        <v>13520.36</v>
      </c>
      <c r="V39" s="61">
        <f t="shared" si="14"/>
        <v>0</v>
      </c>
      <c r="W39" s="90">
        <f t="shared" si="14"/>
        <v>0</v>
      </c>
      <c r="X39" s="132">
        <f>X33+X35+X37</f>
        <v>16791.050000000003</v>
      </c>
      <c r="Y39" s="24"/>
      <c r="Z39" s="24"/>
      <c r="AA39" s="24"/>
      <c r="AB39" s="24"/>
      <c r="AC39" s="24"/>
      <c r="AD39" s="24"/>
      <c r="AE39" s="24"/>
      <c r="AF39" s="24"/>
      <c r="AG39" s="56">
        <f>T39+U39+W39</f>
        <v>16791.05</v>
      </c>
    </row>
    <row r="40" spans="1:33" s="22" customFormat="1" ht="18.75" customHeight="1" x14ac:dyDescent="0.25">
      <c r="A40" s="119"/>
      <c r="B40" s="120"/>
      <c r="C40" s="120"/>
      <c r="D40" s="120"/>
      <c r="E40" s="120"/>
      <c r="F40" s="47">
        <f>F34+F36+F38</f>
        <v>4293.46</v>
      </c>
      <c r="G40" s="47">
        <f>G34+G36+G38</f>
        <v>58.96</v>
      </c>
      <c r="H40" s="47">
        <f>H34+H36+H38</f>
        <v>92.33</v>
      </c>
      <c r="I40" s="47">
        <f>I34+I36+I38</f>
        <v>929.81999999999994</v>
      </c>
      <c r="J40" s="47">
        <f>J34+J36+J38</f>
        <v>23.98</v>
      </c>
      <c r="K40" s="122"/>
      <c r="L40" s="47">
        <f>L34+L36+L38</f>
        <v>366.67</v>
      </c>
      <c r="M40" s="54"/>
      <c r="N40" s="47">
        <f>N34+N36+N38</f>
        <v>10727.68</v>
      </c>
      <c r="O40" s="47">
        <f>O34+O36+O38</f>
        <v>2156</v>
      </c>
      <c r="P40" s="95"/>
      <c r="Q40" s="47">
        <f>Q34+Q36+Q38</f>
        <v>500.29399999999998</v>
      </c>
      <c r="R40" s="94"/>
      <c r="S40" s="94"/>
      <c r="T40" s="91"/>
      <c r="U40" s="91"/>
      <c r="V40" s="61"/>
      <c r="W40" s="91"/>
      <c r="X40" s="133"/>
      <c r="Y40" s="24"/>
      <c r="Z40" s="24"/>
      <c r="AA40" s="24"/>
      <c r="AB40" s="24"/>
      <c r="AC40" s="24"/>
      <c r="AD40" s="24"/>
      <c r="AE40" s="24"/>
      <c r="AF40" s="24"/>
    </row>
    <row r="41" spans="1:33" ht="20.25" customHeight="1" x14ac:dyDescent="0.25">
      <c r="A41" s="92"/>
      <c r="B41" s="93" t="s">
        <v>50</v>
      </c>
      <c r="C41" s="93"/>
      <c r="D41" s="93"/>
      <c r="E41" s="93"/>
      <c r="F41" s="55">
        <f>F19+F29+F39</f>
        <v>653.02</v>
      </c>
      <c r="G41" s="55">
        <f>G19+G29+G39</f>
        <v>360.8</v>
      </c>
      <c r="H41" s="55">
        <f t="shared" ref="H41:J41" si="15">H19+H29+H39</f>
        <v>5635.3899999999994</v>
      </c>
      <c r="I41" s="55">
        <f t="shared" si="15"/>
        <v>3431.05</v>
      </c>
      <c r="J41" s="55">
        <f t="shared" si="15"/>
        <v>134.85</v>
      </c>
      <c r="K41" s="88">
        <f>K19+K29+K39</f>
        <v>20549.46</v>
      </c>
      <c r="L41" s="55">
        <f>L19+L29+L39</f>
        <v>2964</v>
      </c>
      <c r="M41" s="55">
        <f t="shared" ref="M41:O41" si="16">M19+M29+M39</f>
        <v>0</v>
      </c>
      <c r="N41" s="55">
        <f t="shared" si="16"/>
        <v>3968.3599999999997</v>
      </c>
      <c r="O41" s="55">
        <f t="shared" si="16"/>
        <v>156</v>
      </c>
      <c r="P41" s="88">
        <f>P19+P29+P39</f>
        <v>29608.579999999998</v>
      </c>
      <c r="Q41" s="55">
        <f>Q15+Q25</f>
        <v>2549.63</v>
      </c>
      <c r="R41" s="88">
        <f>R19+R29+R39</f>
        <v>35669.899999999994</v>
      </c>
      <c r="S41" s="88">
        <f>S19+S29+S39</f>
        <v>36661.520000000004</v>
      </c>
      <c r="T41" s="88">
        <f>T19+T29+T39</f>
        <v>9752.7999999999993</v>
      </c>
      <c r="U41" s="88">
        <f>U19+U29+U39</f>
        <v>27793.25</v>
      </c>
      <c r="V41" s="55" t="e">
        <f>V19+#REF!+#REF!</f>
        <v>#REF!</v>
      </c>
      <c r="W41" s="88">
        <f>W19+W29+W39</f>
        <v>0</v>
      </c>
      <c r="X41" s="136">
        <f>X19+X29+X39</f>
        <v>37546.050000000003</v>
      </c>
      <c r="Y41" s="1"/>
      <c r="Z41" s="1"/>
      <c r="AA41" s="1"/>
      <c r="AB41" s="1"/>
      <c r="AC41" s="1"/>
      <c r="AD41" s="1"/>
      <c r="AE41" s="1"/>
      <c r="AF41" s="1"/>
    </row>
    <row r="42" spans="1:33" ht="24" customHeight="1" x14ac:dyDescent="0.25">
      <c r="A42" s="92"/>
      <c r="B42" s="93"/>
      <c r="C42" s="93"/>
      <c r="D42" s="93"/>
      <c r="E42" s="93"/>
      <c r="F42" s="55">
        <f>F20+F30+F40</f>
        <v>8599.7200000000012</v>
      </c>
      <c r="G42" s="55">
        <f t="shared" ref="G42:J42" si="17">G20+G30+G40</f>
        <v>117.92</v>
      </c>
      <c r="H42" s="55">
        <f t="shared" si="17"/>
        <v>331.98</v>
      </c>
      <c r="I42" s="55">
        <f t="shared" si="17"/>
        <v>1990.24</v>
      </c>
      <c r="J42" s="55">
        <f t="shared" si="17"/>
        <v>65.430000000000007</v>
      </c>
      <c r="K42" s="89"/>
      <c r="L42" s="55">
        <f>L20+L30+L40</f>
        <v>1004.3600000000001</v>
      </c>
      <c r="M42" s="55">
        <f t="shared" ref="M42:O42" si="18">M20+M30+M40</f>
        <v>0</v>
      </c>
      <c r="N42" s="55">
        <f t="shared" si="18"/>
        <v>24517.82</v>
      </c>
      <c r="O42" s="55">
        <f t="shared" si="18"/>
        <v>4934.76</v>
      </c>
      <c r="P42" s="89"/>
      <c r="Q42" s="55">
        <f>Q16+Q26</f>
        <v>509.92600000000004</v>
      </c>
      <c r="R42" s="89"/>
      <c r="S42" s="89"/>
      <c r="T42" s="89"/>
      <c r="U42" s="89"/>
      <c r="V42" s="55" t="e">
        <f>V20+#REF!+#REF!</f>
        <v>#REF!</v>
      </c>
      <c r="W42" s="89"/>
      <c r="X42" s="137"/>
      <c r="Y42" s="38" t="e">
        <f>Y20+#REF!+#REF!+#REF!+#REF!+#REF!+#REF!+#REF!+#REF!+#REF!</f>
        <v>#REF!</v>
      </c>
      <c r="Z42" s="38" t="e">
        <f>Z20+#REF!+#REF!+#REF!+#REF!+#REF!+#REF!+#REF!+#REF!+#REF!</f>
        <v>#REF!</v>
      </c>
      <c r="AA42" s="38" t="e">
        <f>AA20+#REF!+#REF!+#REF!+#REF!+#REF!+#REF!+#REF!+#REF!+#REF!</f>
        <v>#REF!</v>
      </c>
      <c r="AB42" s="38" t="e">
        <f>AB20+#REF!+#REF!+#REF!+#REF!+#REF!+#REF!+#REF!+#REF!+#REF!</f>
        <v>#REF!</v>
      </c>
      <c r="AC42" s="38" t="e">
        <f>AC20+#REF!+#REF!+#REF!+#REF!+#REF!+#REF!+#REF!+#REF!+#REF!</f>
        <v>#REF!</v>
      </c>
      <c r="AD42" s="38" t="e">
        <f>AD20+#REF!+#REF!+#REF!+#REF!+#REF!+#REF!+#REF!+#REF!+#REF!</f>
        <v>#REF!</v>
      </c>
      <c r="AE42" s="38" t="e">
        <f>AE20+#REF!+#REF!+#REF!+#REF!+#REF!+#REF!+#REF!+#REF!+#REF!</f>
        <v>#REF!</v>
      </c>
      <c r="AF42" s="38" t="e">
        <f>AF20+#REF!+#REF!+#REF!+#REF!+#REF!+#REF!+#REF!+#REF!+#REF!</f>
        <v>#REF!</v>
      </c>
    </row>
    <row r="43" spans="1:33" ht="10.5" customHeight="1" x14ac:dyDescent="0.25"/>
    <row r="44" spans="1:33" x14ac:dyDescent="0.25">
      <c r="B44" s="1" t="s">
        <v>54</v>
      </c>
      <c r="E44" s="80">
        <f>X13+X23+X33</f>
        <v>19640.28</v>
      </c>
    </row>
    <row r="45" spans="1:33" x14ac:dyDescent="0.25">
      <c r="B45" s="1" t="s">
        <v>55</v>
      </c>
      <c r="E45" s="45">
        <f>X15+X25+X35</f>
        <v>6403.01</v>
      </c>
      <c r="G45" s="26"/>
      <c r="K45" s="25"/>
      <c r="N45" s="26"/>
      <c r="P45" s="27"/>
      <c r="R45" s="25"/>
    </row>
    <row r="46" spans="1:33" s="28" customFormat="1" ht="13.5" customHeight="1" x14ac:dyDescent="0.25">
      <c r="B46" s="1" t="s">
        <v>46</v>
      </c>
      <c r="E46" s="45">
        <f>X17+X27+X37</f>
        <v>11502.76</v>
      </c>
      <c r="F46" s="2"/>
      <c r="G46" s="29"/>
      <c r="H46" s="29"/>
      <c r="I46" s="29"/>
      <c r="J46" s="29"/>
      <c r="K46" s="30"/>
      <c r="L46" s="29"/>
      <c r="M46" s="29"/>
      <c r="N46" s="29"/>
      <c r="O46" s="29"/>
      <c r="P46" s="30"/>
      <c r="Q46" s="29"/>
      <c r="R46" s="31"/>
      <c r="S46" s="29"/>
      <c r="T46" s="29"/>
      <c r="U46" s="29"/>
      <c r="V46" s="29"/>
      <c r="W46" s="29"/>
      <c r="X46" s="32"/>
      <c r="Y46" s="33"/>
      <c r="Z46" s="33"/>
      <c r="AA46" s="33"/>
      <c r="AB46" s="33"/>
      <c r="AC46" s="33"/>
      <c r="AD46" s="33"/>
      <c r="AE46" s="33"/>
      <c r="AF46" s="33"/>
    </row>
    <row r="47" spans="1:33" s="28" customFormat="1" ht="15.75" customHeight="1" x14ac:dyDescent="0.25">
      <c r="B47" s="1"/>
      <c r="E47" s="45">
        <f>E44+E45+E46</f>
        <v>37546.050000000003</v>
      </c>
      <c r="F47" s="29"/>
      <c r="G47" s="29"/>
      <c r="H47" s="29"/>
      <c r="I47" s="29"/>
      <c r="J47" s="29"/>
      <c r="K47" s="30"/>
      <c r="L47" s="29"/>
      <c r="M47" s="29"/>
      <c r="N47" s="29"/>
      <c r="O47" s="29"/>
      <c r="P47" s="30"/>
      <c r="Q47" s="29"/>
      <c r="R47" s="31"/>
      <c r="S47" s="29"/>
      <c r="T47" s="29"/>
      <c r="U47" s="29"/>
      <c r="V47" s="29"/>
      <c r="W47" s="29"/>
      <c r="X47" s="32"/>
      <c r="Y47" s="33"/>
      <c r="Z47" s="33"/>
      <c r="AA47" s="33"/>
      <c r="AB47" s="33"/>
      <c r="AC47" s="33"/>
      <c r="AD47" s="33"/>
      <c r="AE47" s="33"/>
      <c r="AF47" s="33"/>
    </row>
    <row r="48" spans="1:33" s="34" customFormat="1" ht="12.75" customHeight="1" x14ac:dyDescent="0.25">
      <c r="F48" s="35"/>
      <c r="G48" s="35"/>
      <c r="H48" s="35"/>
      <c r="I48" s="35"/>
      <c r="J48" s="35"/>
      <c r="K48" s="36"/>
      <c r="L48" s="35"/>
      <c r="M48" s="35"/>
      <c r="N48" s="35"/>
      <c r="O48" s="35"/>
      <c r="P48" s="36"/>
      <c r="Q48" s="35"/>
      <c r="R48" s="36"/>
      <c r="S48" s="35"/>
      <c r="T48" s="35"/>
      <c r="U48" s="35"/>
      <c r="V48" s="35"/>
      <c r="W48" s="35"/>
      <c r="Y48" s="37"/>
      <c r="Z48" s="37"/>
      <c r="AA48" s="37"/>
      <c r="AB48" s="37"/>
      <c r="AC48" s="37"/>
      <c r="AD48" s="37"/>
      <c r="AE48" s="37"/>
      <c r="AF48" s="37"/>
    </row>
    <row r="49" spans="5:32" s="34" customFormat="1" ht="15.75" x14ac:dyDescent="0.25">
      <c r="E49" s="34" t="s">
        <v>48</v>
      </c>
      <c r="F49" s="35"/>
      <c r="G49" s="43"/>
      <c r="H49" s="43"/>
      <c r="I49" s="43"/>
      <c r="J49" s="43"/>
      <c r="K49" s="39" t="s">
        <v>49</v>
      </c>
      <c r="L49" s="35"/>
      <c r="M49" s="35"/>
      <c r="N49" s="35"/>
      <c r="O49" s="35"/>
      <c r="P49" s="36"/>
      <c r="Q49" s="35"/>
      <c r="R49" s="36"/>
      <c r="S49" s="35"/>
      <c r="T49" s="35"/>
      <c r="U49" s="35"/>
      <c r="V49" s="35"/>
      <c r="W49" s="35"/>
      <c r="Y49" s="37"/>
      <c r="Z49" s="37"/>
      <c r="AA49" s="37"/>
      <c r="AB49" s="37"/>
      <c r="AC49" s="37"/>
      <c r="AD49" s="37"/>
      <c r="AE49" s="37"/>
      <c r="AF49" s="37"/>
    </row>
    <row r="50" spans="5:32" s="34" customFormat="1" ht="15.75" x14ac:dyDescent="0.25">
      <c r="F50" s="35"/>
      <c r="G50" s="35"/>
      <c r="H50" s="35"/>
      <c r="I50" s="35"/>
      <c r="J50" s="35"/>
      <c r="K50" s="36"/>
      <c r="L50" s="35"/>
      <c r="M50" s="35"/>
      <c r="N50" s="35"/>
      <c r="O50" s="35"/>
      <c r="P50" s="36"/>
      <c r="Q50" s="35"/>
      <c r="R50" s="36"/>
      <c r="S50" s="35"/>
      <c r="T50" s="35"/>
      <c r="U50" s="35"/>
      <c r="V50" s="35"/>
      <c r="W50" s="35"/>
      <c r="Y50" s="37"/>
      <c r="Z50" s="37"/>
      <c r="AA50" s="37"/>
      <c r="AB50" s="37"/>
      <c r="AC50" s="37"/>
      <c r="AD50" s="37"/>
      <c r="AE50" s="37"/>
      <c r="AF50" s="37"/>
    </row>
    <row r="51" spans="5:32" s="34" customFormat="1" ht="15.75" x14ac:dyDescent="0.25">
      <c r="E51" s="34" t="s">
        <v>56</v>
      </c>
      <c r="F51" s="35"/>
      <c r="G51" s="43"/>
      <c r="H51" s="43"/>
      <c r="I51" s="43"/>
      <c r="J51" s="43"/>
      <c r="K51" s="39" t="s">
        <v>57</v>
      </c>
      <c r="L51" s="35"/>
      <c r="M51" s="35"/>
      <c r="N51" s="35"/>
      <c r="O51" s="35"/>
      <c r="P51" s="36"/>
      <c r="Q51" s="35"/>
      <c r="R51" s="36"/>
      <c r="S51" s="35"/>
      <c r="T51" s="35"/>
      <c r="U51" s="35"/>
      <c r="V51" s="35"/>
      <c r="W51" s="35"/>
      <c r="Y51" s="37"/>
      <c r="Z51" s="37"/>
      <c r="AA51" s="37"/>
      <c r="AB51" s="37"/>
      <c r="AC51" s="37"/>
      <c r="AD51" s="37"/>
      <c r="AE51" s="37"/>
      <c r="AF51" s="37"/>
    </row>
    <row r="53" spans="5:32" ht="15.75" x14ac:dyDescent="0.25">
      <c r="E53" s="34" t="s">
        <v>56</v>
      </c>
      <c r="G53" s="44"/>
      <c r="H53" s="44"/>
      <c r="I53" s="44"/>
      <c r="J53" s="44"/>
      <c r="K53" s="39" t="s">
        <v>58</v>
      </c>
    </row>
  </sheetData>
  <mergeCells count="168">
    <mergeCell ref="T23:T24"/>
    <mergeCell ref="U41:U42"/>
    <mergeCell ref="X37:X38"/>
    <mergeCell ref="X35:X36"/>
    <mergeCell ref="X33:X34"/>
    <mergeCell ref="T37:T38"/>
    <mergeCell ref="U37:U38"/>
    <mergeCell ref="W37:W38"/>
    <mergeCell ref="W35:W36"/>
    <mergeCell ref="U35:U36"/>
    <mergeCell ref="T35:T36"/>
    <mergeCell ref="W33:W34"/>
    <mergeCell ref="U33:U34"/>
    <mergeCell ref="T33:T34"/>
    <mergeCell ref="T39:T40"/>
    <mergeCell ref="W39:W40"/>
    <mergeCell ref="X39:X40"/>
    <mergeCell ref="T27:T28"/>
    <mergeCell ref="T25:T26"/>
    <mergeCell ref="T29:T30"/>
    <mergeCell ref="X41:X42"/>
    <mergeCell ref="W41:W42"/>
    <mergeCell ref="X17:X18"/>
    <mergeCell ref="X15:X16"/>
    <mergeCell ref="X13:X14"/>
    <mergeCell ref="T17:T18"/>
    <mergeCell ref="U17:U18"/>
    <mergeCell ref="W17:W18"/>
    <mergeCell ref="W15:W16"/>
    <mergeCell ref="W13:W14"/>
    <mergeCell ref="U15:U16"/>
    <mergeCell ref="U13:U14"/>
    <mergeCell ref="T15:T16"/>
    <mergeCell ref="T13:T14"/>
    <mergeCell ref="U19:U20"/>
    <mergeCell ref="U29:U30"/>
    <mergeCell ref="U39:U40"/>
    <mergeCell ref="X27:X28"/>
    <mergeCell ref="X25:X26"/>
    <mergeCell ref="W27:W28"/>
    <mergeCell ref="W25:W26"/>
    <mergeCell ref="U27:U28"/>
    <mergeCell ref="U25:U26"/>
    <mergeCell ref="X23:X24"/>
    <mergeCell ref="W23:W24"/>
    <mergeCell ref="W29:W30"/>
    <mergeCell ref="X29:X30"/>
    <mergeCell ref="X19:X20"/>
    <mergeCell ref="W19:W20"/>
    <mergeCell ref="U23:U24"/>
    <mergeCell ref="S37:S38"/>
    <mergeCell ref="A39:A40"/>
    <mergeCell ref="B39:E40"/>
    <mergeCell ref="K39:K40"/>
    <mergeCell ref="P39:P40"/>
    <mergeCell ref="R39:R40"/>
    <mergeCell ref="S39:S40"/>
    <mergeCell ref="A37:A38"/>
    <mergeCell ref="B37:E38"/>
    <mergeCell ref="K37:K38"/>
    <mergeCell ref="P37:P38"/>
    <mergeCell ref="R37:R38"/>
    <mergeCell ref="S33:S34"/>
    <mergeCell ref="A35:A36"/>
    <mergeCell ref="B35:E36"/>
    <mergeCell ref="K35:K36"/>
    <mergeCell ref="P35:P36"/>
    <mergeCell ref="R35:R36"/>
    <mergeCell ref="S35:S36"/>
    <mergeCell ref="A33:A34"/>
    <mergeCell ref="B33:E34"/>
    <mergeCell ref="K33:K34"/>
    <mergeCell ref="P33:P34"/>
    <mergeCell ref="R33:R34"/>
    <mergeCell ref="B32:E32"/>
    <mergeCell ref="S27:S28"/>
    <mergeCell ref="A29:A30"/>
    <mergeCell ref="B29:E30"/>
    <mergeCell ref="K29:K30"/>
    <mergeCell ref="P29:P30"/>
    <mergeCell ref="R29:R30"/>
    <mergeCell ref="S29:S30"/>
    <mergeCell ref="A27:A28"/>
    <mergeCell ref="B27:E28"/>
    <mergeCell ref="K27:K28"/>
    <mergeCell ref="P27:P28"/>
    <mergeCell ref="R27:R28"/>
    <mergeCell ref="P25:P26"/>
    <mergeCell ref="R25:R26"/>
    <mergeCell ref="S25:S26"/>
    <mergeCell ref="B22:E22"/>
    <mergeCell ref="A23:A24"/>
    <mergeCell ref="B23:E24"/>
    <mergeCell ref="K23:K24"/>
    <mergeCell ref="P23:P24"/>
    <mergeCell ref="B31:E31"/>
    <mergeCell ref="S6:S8"/>
    <mergeCell ref="M6:M7"/>
    <mergeCell ref="N6:N7"/>
    <mergeCell ref="O6:O7"/>
    <mergeCell ref="A19:A20"/>
    <mergeCell ref="B19:E20"/>
    <mergeCell ref="K19:K20"/>
    <mergeCell ref="Q8:Q9"/>
    <mergeCell ref="P6:P9"/>
    <mergeCell ref="Q6:Q7"/>
    <mergeCell ref="B10:E10"/>
    <mergeCell ref="B11:E11"/>
    <mergeCell ref="B12:E12"/>
    <mergeCell ref="A13:A14"/>
    <mergeCell ref="B13:E14"/>
    <mergeCell ref="K13:K14"/>
    <mergeCell ref="J8:J9"/>
    <mergeCell ref="J6:J7"/>
    <mergeCell ref="K6:K9"/>
    <mergeCell ref="L6:L7"/>
    <mergeCell ref="R6:R8"/>
    <mergeCell ref="L8:L9"/>
    <mergeCell ref="M8:M9"/>
    <mergeCell ref="N8:N9"/>
    <mergeCell ref="K25:K26"/>
    <mergeCell ref="O8:O9"/>
    <mergeCell ref="S17:S18"/>
    <mergeCell ref="S1:X1"/>
    <mergeCell ref="A2:X2"/>
    <mergeCell ref="B4:X4"/>
    <mergeCell ref="A6:A9"/>
    <mergeCell ref="B6:E9"/>
    <mergeCell ref="F6:F7"/>
    <mergeCell ref="G6:G7"/>
    <mergeCell ref="H6:H7"/>
    <mergeCell ref="I6:I7"/>
    <mergeCell ref="T6:X8"/>
    <mergeCell ref="F8:F9"/>
    <mergeCell ref="G8:G9"/>
    <mergeCell ref="H8:H9"/>
    <mergeCell ref="I8:I9"/>
    <mergeCell ref="R13:R14"/>
    <mergeCell ref="S13:S14"/>
    <mergeCell ref="A15:A16"/>
    <mergeCell ref="B15:E16"/>
    <mergeCell ref="K15:K16"/>
    <mergeCell ref="P15:P16"/>
    <mergeCell ref="R15:R16"/>
    <mergeCell ref="A5:X5"/>
    <mergeCell ref="S15:S16"/>
    <mergeCell ref="P13:P14"/>
    <mergeCell ref="A17:A18"/>
    <mergeCell ref="B17:E18"/>
    <mergeCell ref="K17:K18"/>
    <mergeCell ref="P17:P18"/>
    <mergeCell ref="R17:R18"/>
    <mergeCell ref="T41:T42"/>
    <mergeCell ref="T19:T20"/>
    <mergeCell ref="A41:A42"/>
    <mergeCell ref="B41:E42"/>
    <mergeCell ref="K41:K42"/>
    <mergeCell ref="P41:P42"/>
    <mergeCell ref="R41:R42"/>
    <mergeCell ref="S41:S42"/>
    <mergeCell ref="R19:R20"/>
    <mergeCell ref="S19:S20"/>
    <mergeCell ref="P19:P20"/>
    <mergeCell ref="B21:E21"/>
    <mergeCell ref="R23:R24"/>
    <mergeCell ref="S23:S24"/>
    <mergeCell ref="A25:A26"/>
    <mergeCell ref="B25:E26"/>
  </mergeCells>
  <pageMargins left="0.39370078740157483" right="0.19685039370078741" top="0.19685039370078741" bottom="0.15748031496062992" header="0.15748031496062992" footer="0.1574803149606299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цена заказчика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A. Malceva</dc:creator>
  <cp:lastModifiedBy>Vitaly F. Borisevich</cp:lastModifiedBy>
  <cp:lastPrinted>2022-05-06T10:49:19Z</cp:lastPrinted>
  <dcterms:created xsi:type="dcterms:W3CDTF">2021-01-25T06:39:08Z</dcterms:created>
  <dcterms:modified xsi:type="dcterms:W3CDTF">2022-05-10T07:20:05Z</dcterms:modified>
</cp:coreProperties>
</file>